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20" windowWidth="12120" windowHeight="9120" tabRatio="754" activeTab="6"/>
  </bookViews>
  <sheets>
    <sheet name="Summary" sheetId="34" r:id="rId1"/>
    <sheet name="IS" sheetId="4" r:id="rId2"/>
    <sheet name="FP" sheetId="5" r:id="rId3"/>
    <sheet name="Equity" sheetId="6" r:id="rId4"/>
    <sheet name="CF" sheetId="30" r:id="rId5"/>
    <sheet name="Part A" sheetId="32" r:id="rId6"/>
    <sheet name="Part B" sheetId="31" r:id="rId7"/>
    <sheet name="Detailed PL" sheetId="35" state="hidden" r:id="rId8"/>
    <sheet name="WBS" sheetId="29" state="hidden" r:id="rId9"/>
  </sheets>
  <externalReferences>
    <externalReference r:id="rId10"/>
  </externalReferences>
  <definedNames>
    <definedName name="_xlnm.Print_Area" localSheetId="4">CF!$A$1:$H$57</definedName>
    <definedName name="_xlnm.Print_Area" localSheetId="7">'Detailed PL'!$A$1:$K$96</definedName>
    <definedName name="_xlnm.Print_Area" localSheetId="3">Equity!$A$1:$J$40</definedName>
    <definedName name="_xlnm.Print_Area" localSheetId="2">FP!$A$1:$J$64</definedName>
    <definedName name="_xlnm.Print_Area" localSheetId="1">IS!$A$1:$K$48</definedName>
    <definedName name="_xlnm.Print_Area" localSheetId="5">'Part A'!$A$1:$N$143</definedName>
    <definedName name="_xlnm.Print_Area" localSheetId="6">'Part B'!$A$1:$L$156</definedName>
    <definedName name="_xlnm.Print_Area" localSheetId="8">WBS!$A$1:$Z$74</definedName>
  </definedNames>
  <calcPr calcId="101716"/>
</workbook>
</file>

<file path=xl/calcChain.xml><?xml version="1.0" encoding="utf-8"?>
<calcChain xmlns="http://schemas.openxmlformats.org/spreadsheetml/2006/main">
  <c r="P43" i="29"/>
  <c r="C114" i="31"/>
  <c r="C106" i="32"/>
  <c r="E36" i="4"/>
  <c r="I36"/>
  <c r="I40"/>
  <c r="K36"/>
  <c r="H137" i="31"/>
  <c r="J137"/>
  <c r="L137"/>
  <c r="G96"/>
  <c r="E96"/>
  <c r="D96"/>
  <c r="H110"/>
  <c r="E40" i="30"/>
  <c r="G21"/>
  <c r="N112" i="32"/>
  <c r="G19" i="30"/>
  <c r="G23"/>
  <c r="G27"/>
  <c r="G42"/>
  <c r="G44"/>
  <c r="E33"/>
  <c r="G33"/>
  <c r="L40" i="29"/>
  <c r="L28"/>
  <c r="N28"/>
  <c r="F40"/>
  <c r="F28"/>
  <c r="I19" i="4"/>
  <c r="I25"/>
  <c r="I23"/>
  <c r="E17" i="30"/>
  <c r="I21" i="4"/>
  <c r="I17"/>
  <c r="I11"/>
  <c r="I49" i="35"/>
  <c r="K49"/>
  <c r="I50"/>
  <c r="K50"/>
  <c r="F33" i="29"/>
  <c r="F25"/>
  <c r="V25"/>
  <c r="X25"/>
  <c r="F22"/>
  <c r="N33"/>
  <c r="N44"/>
  <c r="N21"/>
  <c r="N22"/>
  <c r="N29"/>
  <c r="N46"/>
  <c r="N53"/>
  <c r="P36"/>
  <c r="P44"/>
  <c r="P33"/>
  <c r="P28"/>
  <c r="P19"/>
  <c r="P20"/>
  <c r="P24"/>
  <c r="P22"/>
  <c r="P14"/>
  <c r="P10"/>
  <c r="L36"/>
  <c r="L24"/>
  <c r="L33"/>
  <c r="L44"/>
  <c r="L22"/>
  <c r="L29"/>
  <c r="L46"/>
  <c r="H33"/>
  <c r="H36"/>
  <c r="T36"/>
  <c r="H22"/>
  <c r="G26" i="5"/>
  <c r="H24" i="29"/>
  <c r="V24"/>
  <c r="H28"/>
  <c r="H40"/>
  <c r="R20"/>
  <c r="H20"/>
  <c r="X20"/>
  <c r="J22"/>
  <c r="X22"/>
  <c r="R33"/>
  <c r="I60"/>
  <c r="I72"/>
  <c r="K60"/>
  <c r="K72"/>
  <c r="M60"/>
  <c r="O60"/>
  <c r="O72"/>
  <c r="Q60"/>
  <c r="Q72"/>
  <c r="J29"/>
  <c r="J46"/>
  <c r="J53"/>
  <c r="P29"/>
  <c r="X66"/>
  <c r="C20" i="35"/>
  <c r="F93"/>
  <c r="I64"/>
  <c r="F9"/>
  <c r="C93"/>
  <c r="D93"/>
  <c r="E93"/>
  <c r="G93"/>
  <c r="H93"/>
  <c r="C86"/>
  <c r="D86"/>
  <c r="E86"/>
  <c r="F86"/>
  <c r="G86"/>
  <c r="H86"/>
  <c r="C79"/>
  <c r="D79"/>
  <c r="E79"/>
  <c r="F79"/>
  <c r="G79"/>
  <c r="H79"/>
  <c r="B93"/>
  <c r="B79"/>
  <c r="I97"/>
  <c r="I92"/>
  <c r="K92"/>
  <c r="I91"/>
  <c r="K91"/>
  <c r="I90"/>
  <c r="K90"/>
  <c r="I89"/>
  <c r="J86"/>
  <c r="B86"/>
  <c r="I85"/>
  <c r="K85"/>
  <c r="I84"/>
  <c r="I82"/>
  <c r="K82"/>
  <c r="I78"/>
  <c r="K78"/>
  <c r="I77"/>
  <c r="K77"/>
  <c r="I76"/>
  <c r="K76"/>
  <c r="I75"/>
  <c r="K75"/>
  <c r="I74"/>
  <c r="K74"/>
  <c r="I73"/>
  <c r="K73"/>
  <c r="I72"/>
  <c r="K72"/>
  <c r="I71"/>
  <c r="K71"/>
  <c r="I70"/>
  <c r="K70"/>
  <c r="I69"/>
  <c r="K69"/>
  <c r="I68"/>
  <c r="K68"/>
  <c r="I67"/>
  <c r="K67"/>
  <c r="I66"/>
  <c r="K66"/>
  <c r="I65"/>
  <c r="K65"/>
  <c r="K64"/>
  <c r="I63"/>
  <c r="K63"/>
  <c r="I62"/>
  <c r="K62"/>
  <c r="I59"/>
  <c r="K59"/>
  <c r="I58"/>
  <c r="K58"/>
  <c r="I57"/>
  <c r="K57"/>
  <c r="I56"/>
  <c r="K56"/>
  <c r="I55"/>
  <c r="K55"/>
  <c r="I54"/>
  <c r="K54"/>
  <c r="I53"/>
  <c r="K53"/>
  <c r="I52"/>
  <c r="K52"/>
  <c r="I51"/>
  <c r="K51"/>
  <c r="I48"/>
  <c r="K48"/>
  <c r="I47"/>
  <c r="K47"/>
  <c r="I46"/>
  <c r="K46"/>
  <c r="I45"/>
  <c r="K45"/>
  <c r="I44"/>
  <c r="K44"/>
  <c r="I43"/>
  <c r="K43"/>
  <c r="I42"/>
  <c r="K42"/>
  <c r="I40"/>
  <c r="K40"/>
  <c r="I39"/>
  <c r="K39"/>
  <c r="I38"/>
  <c r="K38"/>
  <c r="I37"/>
  <c r="I79"/>
  <c r="H32"/>
  <c r="G32"/>
  <c r="F32"/>
  <c r="E32"/>
  <c r="D32"/>
  <c r="C32"/>
  <c r="B32"/>
  <c r="I31"/>
  <c r="K31"/>
  <c r="I30"/>
  <c r="K30"/>
  <c r="K32"/>
  <c r="H28"/>
  <c r="H34"/>
  <c r="G28"/>
  <c r="G34"/>
  <c r="F28"/>
  <c r="F34"/>
  <c r="E28"/>
  <c r="E34"/>
  <c r="D28"/>
  <c r="D34"/>
  <c r="C28"/>
  <c r="C34"/>
  <c r="B28"/>
  <c r="B34"/>
  <c r="I27"/>
  <c r="K27"/>
  <c r="I26"/>
  <c r="H20"/>
  <c r="G20"/>
  <c r="F20"/>
  <c r="E20"/>
  <c r="D20"/>
  <c r="B20"/>
  <c r="I19"/>
  <c r="K19"/>
  <c r="I18"/>
  <c r="K18"/>
  <c r="I17"/>
  <c r="K17"/>
  <c r="I16"/>
  <c r="K16"/>
  <c r="I15"/>
  <c r="K15"/>
  <c r="I14"/>
  <c r="J7"/>
  <c r="I13"/>
  <c r="K13"/>
  <c r="I12"/>
  <c r="I20"/>
  <c r="H9"/>
  <c r="H99" i="32"/>
  <c r="L99"/>
  <c r="H22" i="35"/>
  <c r="H95"/>
  <c r="G9"/>
  <c r="F22"/>
  <c r="F95"/>
  <c r="E9"/>
  <c r="D9"/>
  <c r="H100" i="32"/>
  <c r="L100"/>
  <c r="C9" i="35"/>
  <c r="H98" i="32"/>
  <c r="B9" i="35"/>
  <c r="B22"/>
  <c r="B95"/>
  <c r="I8"/>
  <c r="I9"/>
  <c r="K8"/>
  <c r="I7"/>
  <c r="I6"/>
  <c r="G60" i="29"/>
  <c r="I40" i="5"/>
  <c r="I31"/>
  <c r="I42"/>
  <c r="I47"/>
  <c r="I21"/>
  <c r="I56"/>
  <c r="I58"/>
  <c r="H40" i="34"/>
  <c r="I112" i="32"/>
  <c r="L111"/>
  <c r="T59" i="29"/>
  <c r="S60"/>
  <c r="J20" i="6"/>
  <c r="V23" i="29"/>
  <c r="X23"/>
  <c r="T34"/>
  <c r="X34"/>
  <c r="T35"/>
  <c r="X35"/>
  <c r="X38"/>
  <c r="G36" i="5"/>
  <c r="T56" i="29"/>
  <c r="X56"/>
  <c r="I18" i="6"/>
  <c r="I22"/>
  <c r="X57" i="29"/>
  <c r="X58"/>
  <c r="G53" i="5"/>
  <c r="F59" i="29"/>
  <c r="J59"/>
  <c r="R59"/>
  <c r="V59"/>
  <c r="X59"/>
  <c r="X62"/>
  <c r="X33"/>
  <c r="G35" i="5"/>
  <c r="X40" i="29"/>
  <c r="I106" i="31"/>
  <c r="X32" i="29"/>
  <c r="G34" i="5"/>
  <c r="X37" i="29"/>
  <c r="X39"/>
  <c r="X41"/>
  <c r="I107" i="31"/>
  <c r="X42" i="29"/>
  <c r="I108" i="31"/>
  <c r="X43" i="29"/>
  <c r="I109" i="31"/>
  <c r="X19" i="29"/>
  <c r="G23" i="5"/>
  <c r="X21" i="29"/>
  <c r="G25" i="5"/>
  <c r="X26" i="29"/>
  <c r="X27"/>
  <c r="X28"/>
  <c r="G29" i="5"/>
  <c r="X11" i="29"/>
  <c r="T12"/>
  <c r="X12"/>
  <c r="X13"/>
  <c r="X14"/>
  <c r="G20" i="5"/>
  <c r="T15" i="29"/>
  <c r="V15"/>
  <c r="V63"/>
  <c r="X49"/>
  <c r="X50"/>
  <c r="I115" i="31"/>
  <c r="X51" i="29"/>
  <c r="G46" i="5"/>
  <c r="N93" i="32"/>
  <c r="L93"/>
  <c r="H13" i="34"/>
  <c r="F13"/>
  <c r="P52" i="29"/>
  <c r="F16"/>
  <c r="F44"/>
  <c r="F52"/>
  <c r="G83"/>
  <c r="I83"/>
  <c r="K83"/>
  <c r="M83"/>
  <c r="O83"/>
  <c r="Q83"/>
  <c r="S83"/>
  <c r="V83"/>
  <c r="V86"/>
  <c r="P86"/>
  <c r="T86"/>
  <c r="X85"/>
  <c r="Y83"/>
  <c r="L96" i="32"/>
  <c r="F24" i="6"/>
  <c r="F28"/>
  <c r="F30"/>
  <c r="G24"/>
  <c r="G28"/>
  <c r="G34"/>
  <c r="P111" i="32"/>
  <c r="L105" i="29"/>
  <c r="R105"/>
  <c r="R112"/>
  <c r="R115"/>
  <c r="R110"/>
  <c r="F107"/>
  <c r="F106"/>
  <c r="H96" i="32"/>
  <c r="Q102" i="29"/>
  <c r="N102"/>
  <c r="P102"/>
  <c r="S102"/>
  <c r="R101"/>
  <c r="M102"/>
  <c r="O102"/>
  <c r="R29"/>
  <c r="X68"/>
  <c r="H52"/>
  <c r="Q16"/>
  <c r="Q53"/>
  <c r="Q64"/>
  <c r="Q44"/>
  <c r="Q46"/>
  <c r="Q52"/>
  <c r="R44"/>
  <c r="R16"/>
  <c r="R52"/>
  <c r="S44"/>
  <c r="S46"/>
  <c r="S53"/>
  <c r="S64"/>
  <c r="S52"/>
  <c r="S63"/>
  <c r="S72"/>
  <c r="T70"/>
  <c r="K27" i="4"/>
  <c r="K30"/>
  <c r="Y111" i="29"/>
  <c r="N16"/>
  <c r="N52"/>
  <c r="H16"/>
  <c r="L52"/>
  <c r="J52"/>
  <c r="L16"/>
  <c r="L53"/>
  <c r="G72"/>
  <c r="M72"/>
  <c r="I132" i="31"/>
  <c r="C67" i="29"/>
  <c r="C68"/>
  <c r="C69"/>
  <c r="F20" i="34"/>
  <c r="H20"/>
  <c r="E20"/>
  <c r="H16"/>
  <c r="E16"/>
  <c r="I16" i="29"/>
  <c r="I44"/>
  <c r="I46"/>
  <c r="I53"/>
  <c r="J16"/>
  <c r="J44"/>
  <c r="G16"/>
  <c r="G53"/>
  <c r="G44"/>
  <c r="G46"/>
  <c r="O16"/>
  <c r="O46"/>
  <c r="K16"/>
  <c r="K53"/>
  <c r="K44"/>
  <c r="K46"/>
  <c r="M16"/>
  <c r="M44"/>
  <c r="M46"/>
  <c r="G27" i="4"/>
  <c r="E18" i="34"/>
  <c r="L132" i="31"/>
  <c r="G40" i="30"/>
  <c r="G49"/>
  <c r="G52"/>
  <c r="U64" i="29"/>
  <c r="W64"/>
  <c r="I97" i="32"/>
  <c r="I101"/>
  <c r="I103"/>
  <c r="K97"/>
  <c r="M97"/>
  <c r="M101"/>
  <c r="M103"/>
  <c r="J18" i="6"/>
  <c r="J24"/>
  <c r="J28"/>
  <c r="J22"/>
  <c r="H116" i="31"/>
  <c r="L104"/>
  <c r="M112" i="32"/>
  <c r="I24" i="6"/>
  <c r="I28"/>
  <c r="H24"/>
  <c r="H28"/>
  <c r="H34"/>
  <c r="K11" i="4"/>
  <c r="G16" i="5"/>
  <c r="H44" i="29"/>
  <c r="R99"/>
  <c r="R100"/>
  <c r="R98"/>
  <c r="R102"/>
  <c r="L102"/>
  <c r="X69"/>
  <c r="G37" i="5"/>
  <c r="G52"/>
  <c r="I114" i="31"/>
  <c r="P102" i="32"/>
  <c r="E27" i="4"/>
  <c r="E30"/>
  <c r="C16" i="34"/>
  <c r="E24" i="31"/>
  <c r="Y69" i="29"/>
  <c r="Y70"/>
  <c r="H18" i="34"/>
  <c r="G30" i="4"/>
  <c r="G34"/>
  <c r="I27"/>
  <c r="I30"/>
  <c r="I34"/>
  <c r="F16" i="34"/>
  <c r="F18"/>
  <c r="E50" i="30"/>
  <c r="F29" i="29"/>
  <c r="F46"/>
  <c r="F53"/>
  <c r="G45" i="5"/>
  <c r="I28" i="35"/>
  <c r="P46" i="29"/>
  <c r="X52"/>
  <c r="G38" i="5"/>
  <c r="G47"/>
  <c r="R46" i="29"/>
  <c r="R53"/>
  <c r="G39" i="5"/>
  <c r="G28"/>
  <c r="E47" i="30"/>
  <c r="M53" i="29"/>
  <c r="O53"/>
  <c r="D22" i="35"/>
  <c r="D95"/>
  <c r="E22"/>
  <c r="E95"/>
  <c r="I86"/>
  <c r="I93"/>
  <c r="K6"/>
  <c r="K12"/>
  <c r="C22"/>
  <c r="G22"/>
  <c r="G23"/>
  <c r="B23"/>
  <c r="D23"/>
  <c r="F23"/>
  <c r="H23"/>
  <c r="K26"/>
  <c r="K84"/>
  <c r="K86"/>
  <c r="K89"/>
  <c r="K93"/>
  <c r="E23"/>
  <c r="G40" i="4"/>
  <c r="E27" i="34"/>
  <c r="G135" i="31"/>
  <c r="G137"/>
  <c r="E22" i="34"/>
  <c r="E25"/>
  <c r="E26" i="31"/>
  <c r="C18" i="34"/>
  <c r="N67" i="29"/>
  <c r="H109" i="32"/>
  <c r="L109"/>
  <c r="E98" i="35"/>
  <c r="F22" i="34"/>
  <c r="F25"/>
  <c r="I135" i="31"/>
  <c r="I137"/>
  <c r="I32" i="6"/>
  <c r="F27" i="34"/>
  <c r="E15" i="30"/>
  <c r="E19"/>
  <c r="Y61" i="29"/>
  <c r="Y60"/>
  <c r="H106" i="32"/>
  <c r="F67" i="29"/>
  <c r="F70"/>
  <c r="F60"/>
  <c r="B98" i="35"/>
  <c r="L98" i="32"/>
  <c r="G19" i="5"/>
  <c r="H110" i="32"/>
  <c r="L110"/>
  <c r="D98" i="35"/>
  <c r="L67" i="29"/>
  <c r="C22" i="34"/>
  <c r="C25"/>
  <c r="E34" i="4"/>
  <c r="E135" i="31"/>
  <c r="E137"/>
  <c r="E40" i="4"/>
  <c r="C27" i="34"/>
  <c r="H22"/>
  <c r="H25"/>
  <c r="K40" i="4"/>
  <c r="H27" i="34"/>
  <c r="K34" i="4"/>
  <c r="J30" i="6"/>
  <c r="F34"/>
  <c r="I48" i="5"/>
  <c r="I22" i="35"/>
  <c r="I95"/>
  <c r="I99"/>
  <c r="F98"/>
  <c r="P67" i="29"/>
  <c r="P70"/>
  <c r="P60"/>
  <c r="P72"/>
  <c r="R67"/>
  <c r="R70"/>
  <c r="R60"/>
  <c r="H98" i="35"/>
  <c r="H102" i="32"/>
  <c r="L102"/>
  <c r="J14" i="35"/>
  <c r="K14"/>
  <c r="K7"/>
  <c r="K9"/>
  <c r="G24" i="5"/>
  <c r="K20" i="35"/>
  <c r="K28"/>
  <c r="C95"/>
  <c r="H108" i="32"/>
  <c r="L108"/>
  <c r="X15" i="29"/>
  <c r="E51" i="30"/>
  <c r="I32" i="35"/>
  <c r="I34"/>
  <c r="K34"/>
  <c r="K37"/>
  <c r="G95"/>
  <c r="J67" i="29"/>
  <c r="J70"/>
  <c r="J60"/>
  <c r="C23" i="35"/>
  <c r="G21" i="5"/>
  <c r="L106" i="32"/>
  <c r="N70" i="29"/>
  <c r="N60"/>
  <c r="K22" i="35"/>
  <c r="G98"/>
  <c r="C98"/>
  <c r="H67" i="29"/>
  <c r="H70"/>
  <c r="H60"/>
  <c r="L70"/>
  <c r="L60"/>
  <c r="J32" i="6"/>
  <c r="J34"/>
  <c r="I34"/>
  <c r="I23" i="35"/>
  <c r="K23"/>
  <c r="I116" i="31"/>
  <c r="I110"/>
  <c r="H101" i="32"/>
  <c r="K79" i="35"/>
  <c r="K95"/>
  <c r="K97"/>
  <c r="X67" i="29"/>
  <c r="X70"/>
  <c r="L101" i="32"/>
  <c r="L103"/>
  <c r="X36" i="29"/>
  <c r="Y36"/>
  <c r="T63"/>
  <c r="Z26"/>
  <c r="Z25"/>
  <c r="Z27"/>
  <c r="X24"/>
  <c r="Y23"/>
  <c r="Y37"/>
  <c r="X10"/>
  <c r="X16"/>
  <c r="P16"/>
  <c r="P53"/>
  <c r="X44"/>
  <c r="X29"/>
  <c r="H29"/>
  <c r="H46"/>
  <c r="H53"/>
  <c r="G31" i="5"/>
  <c r="L112" i="32"/>
  <c r="H112"/>
  <c r="J72" i="29"/>
  <c r="J63"/>
  <c r="J64"/>
  <c r="J83"/>
  <c r="N83"/>
  <c r="N86"/>
  <c r="N63"/>
  <c r="N64"/>
  <c r="N72"/>
  <c r="E48" i="30"/>
  <c r="E49"/>
  <c r="E52"/>
  <c r="H63" i="29"/>
  <c r="H64"/>
  <c r="H83"/>
  <c r="H72"/>
  <c r="F72"/>
  <c r="X60"/>
  <c r="F63"/>
  <c r="F64"/>
  <c r="F83"/>
  <c r="L83"/>
  <c r="L63"/>
  <c r="L64"/>
  <c r="L72"/>
  <c r="R63"/>
  <c r="R64"/>
  <c r="R83"/>
  <c r="R86"/>
  <c r="E23" i="30"/>
  <c r="E27"/>
  <c r="E42"/>
  <c r="E44"/>
  <c r="H103" i="32"/>
  <c r="P103"/>
  <c r="P106"/>
  <c r="R72" i="29"/>
  <c r="P83"/>
  <c r="P63"/>
  <c r="P64"/>
  <c r="G40" i="5"/>
  <c r="Y95" i="29"/>
  <c r="Z63"/>
  <c r="X46"/>
  <c r="X53"/>
  <c r="X83"/>
  <c r="F86"/>
  <c r="X86"/>
  <c r="X72"/>
  <c r="X63"/>
  <c r="G55" i="5"/>
  <c r="G42"/>
  <c r="G56"/>
  <c r="G58"/>
  <c r="F40" i="34"/>
  <c r="G48" i="5"/>
  <c r="X95" i="29"/>
  <c r="X96"/>
  <c r="X64"/>
</calcChain>
</file>

<file path=xl/sharedStrings.xml><?xml version="1.0" encoding="utf-8"?>
<sst xmlns="http://schemas.openxmlformats.org/spreadsheetml/2006/main" count="729" uniqueCount="574">
  <si>
    <t>Loss before taxation</t>
  </si>
  <si>
    <t>Loss after taxation</t>
  </si>
  <si>
    <t>QUARTERLY REPORT</t>
  </si>
  <si>
    <t>The figures have not been audited.</t>
  </si>
  <si>
    <t>Note</t>
  </si>
  <si>
    <t>RM'000</t>
  </si>
  <si>
    <t>Revenue</t>
  </si>
  <si>
    <t>Finance costs</t>
  </si>
  <si>
    <t>Taxation</t>
  </si>
  <si>
    <t>(a) Basic</t>
  </si>
  <si>
    <t>Notes:</t>
  </si>
  <si>
    <t>Unaudited</t>
  </si>
  <si>
    <t>Audited</t>
  </si>
  <si>
    <t>As at</t>
  </si>
  <si>
    <t>preceding</t>
  </si>
  <si>
    <t>of current</t>
  </si>
  <si>
    <t>financial</t>
  </si>
  <si>
    <t>quarter ended</t>
  </si>
  <si>
    <t>Fixed deposits with licensed banks</t>
  </si>
  <si>
    <t>Trade payables</t>
  </si>
  <si>
    <t>Financed by:</t>
  </si>
  <si>
    <t>Share capital</t>
  </si>
  <si>
    <t>Note :</t>
  </si>
  <si>
    <t>Distributable</t>
  </si>
  <si>
    <t>Share</t>
  </si>
  <si>
    <t>Group</t>
  </si>
  <si>
    <t>Capital</t>
  </si>
  <si>
    <t>premium</t>
  </si>
  <si>
    <t>Total</t>
  </si>
  <si>
    <t xml:space="preserve"> </t>
  </si>
  <si>
    <t>Cash and bank balances</t>
  </si>
  <si>
    <t>A.</t>
  </si>
  <si>
    <t>A1.</t>
  </si>
  <si>
    <t>Basis of preparation</t>
  </si>
  <si>
    <t>A2.</t>
  </si>
  <si>
    <t>Changes in Accounting Policies</t>
  </si>
  <si>
    <t>A4.</t>
  </si>
  <si>
    <t>Seasonality or cyclicality of interim operations</t>
  </si>
  <si>
    <t>The Group's interim operations were not affected by seasonal or cyclical factors.</t>
  </si>
  <si>
    <t>A5.</t>
  </si>
  <si>
    <t>Unusual items</t>
  </si>
  <si>
    <t>A6.</t>
  </si>
  <si>
    <t>Changes in estimates</t>
  </si>
  <si>
    <t>A7.</t>
  </si>
  <si>
    <t>Issuance, cancellations, repurchases, resale and repayments of debt and equity securities</t>
  </si>
  <si>
    <t>A8.</t>
  </si>
  <si>
    <t>Dividends</t>
  </si>
  <si>
    <t>A9.</t>
  </si>
  <si>
    <t>Segmental reporting</t>
  </si>
  <si>
    <t>Individual quarter ended</t>
  </si>
  <si>
    <t>Cumulative quarter ended</t>
  </si>
  <si>
    <t>A10.</t>
  </si>
  <si>
    <t>A11.</t>
  </si>
  <si>
    <t>Subsequent material events</t>
  </si>
  <si>
    <t>A12.</t>
  </si>
  <si>
    <t>Changes in the composition of the Group</t>
  </si>
  <si>
    <t>A13.</t>
  </si>
  <si>
    <t>Changes in contingent liabilities or contingent assets</t>
  </si>
  <si>
    <t>A14.</t>
  </si>
  <si>
    <t>Capital Commitment</t>
  </si>
  <si>
    <t>A15.</t>
  </si>
  <si>
    <t>Significant Related Party Transactions</t>
  </si>
  <si>
    <t>There were no significant related party transactions during the quarter under review.</t>
  </si>
  <si>
    <t>Current</t>
  </si>
  <si>
    <t>Cumulative</t>
  </si>
  <si>
    <t xml:space="preserve">    </t>
  </si>
  <si>
    <t>During the quarter under review, there were no items or events that arose, which affected assets, liabilities,equity, net income or cash flows, that are unusual by reason of their nature, size or incidence.</t>
  </si>
  <si>
    <t>TOTAL</t>
  </si>
  <si>
    <t>Interest expense</t>
  </si>
  <si>
    <t>Inventories</t>
  </si>
  <si>
    <t>Subsidiaries</t>
  </si>
  <si>
    <t>Repayment of term loan</t>
  </si>
  <si>
    <t>EXPLANATORY NOTES PURSUANT TO FINANCIAL REPORTING STANDARD ("FRS") 134</t>
  </si>
  <si>
    <t>A3.</t>
  </si>
  <si>
    <t>No dividend has been declared or paid during the period under review.</t>
  </si>
  <si>
    <r>
      <t xml:space="preserve">ENVAIR HOLDING BERHAD </t>
    </r>
    <r>
      <rPr>
        <b/>
        <i/>
        <sz val="12"/>
        <rFont val="Arial"/>
        <family val="2"/>
      </rPr>
      <t>(412406-T)</t>
    </r>
  </si>
  <si>
    <t>Loss per share (sen)</t>
  </si>
  <si>
    <t>ENVAIR HOLDING BERHAD (412406-T)</t>
  </si>
  <si>
    <t>ENVAIR HOLDING CONSOLIDATION</t>
  </si>
  <si>
    <t>Holding Co.</t>
  </si>
  <si>
    <t>VAM</t>
  </si>
  <si>
    <t>QLS</t>
  </si>
  <si>
    <t>Envair Hold</t>
  </si>
  <si>
    <t>Purchases - Interco</t>
  </si>
  <si>
    <t>Closing Stock C/F</t>
  </si>
  <si>
    <t>Labour &amp; Overhead - mfg</t>
  </si>
  <si>
    <t>Transport/ Freight-out</t>
  </si>
  <si>
    <t>Depreciation</t>
  </si>
  <si>
    <t>QTech</t>
  </si>
  <si>
    <t>Operating Expenses</t>
  </si>
  <si>
    <t>Other Operating Income</t>
  </si>
  <si>
    <t>HOLDING</t>
  </si>
  <si>
    <t>SUBSIDIARIES</t>
  </si>
  <si>
    <t>Quest</t>
  </si>
  <si>
    <t>As At</t>
  </si>
  <si>
    <t>Equipment &amp;</t>
  </si>
  <si>
    <t>Quest Liquid</t>
  </si>
  <si>
    <t>Quest System</t>
  </si>
  <si>
    <t>Envair Hldg</t>
  </si>
  <si>
    <t>Technology</t>
  </si>
  <si>
    <t>Services</t>
  </si>
  <si>
    <t>Vokes Air</t>
  </si>
  <si>
    <t>Separation</t>
  </si>
  <si>
    <t>Filter</t>
  </si>
  <si>
    <t>Engineering</t>
  </si>
  <si>
    <t>Dr.</t>
  </si>
  <si>
    <t>Cr.</t>
  </si>
  <si>
    <t>RM' 000</t>
  </si>
  <si>
    <t>NON CURRENT ASSETS</t>
  </si>
  <si>
    <t>Plant &amp; equipment</t>
  </si>
  <si>
    <t>Investments in subsidiaries</t>
  </si>
  <si>
    <t>Prov.-Dim. Value of subsidiary</t>
  </si>
  <si>
    <t>Deferred tax assets</t>
  </si>
  <si>
    <t>Research &amp; Development Expenditure</t>
  </si>
  <si>
    <t>Goodwill on consolidation</t>
  </si>
  <si>
    <t>CURRENT ASSETS</t>
  </si>
  <si>
    <t>Trade debtors, Accrual Sales</t>
  </si>
  <si>
    <t>Other debtors, deposits and prepayments</t>
  </si>
  <si>
    <t>Amount owing by contract customer</t>
  </si>
  <si>
    <t>Amount due from holding company</t>
  </si>
  <si>
    <t>Amount due from related companies</t>
  </si>
  <si>
    <t>Amount due from Associates/Subsidiaries</t>
  </si>
  <si>
    <t>Fixed deposits (pledged with bank)</t>
  </si>
  <si>
    <t>FD Interest Receivable (pledged with bank)</t>
  </si>
  <si>
    <r>
      <t xml:space="preserve">LESS: </t>
    </r>
    <r>
      <rPr>
        <b/>
        <u/>
        <sz val="10"/>
        <rFont val="Arial"/>
        <family val="2"/>
      </rPr>
      <t>CURRENT LIABILITIES</t>
    </r>
  </si>
  <si>
    <t>Trade creditors, Accrual Purchases</t>
  </si>
  <si>
    <t>Other creditors and accruals</t>
  </si>
  <si>
    <t>Amount due to subsidiaries</t>
  </si>
  <si>
    <t>Amount due to holding company</t>
  </si>
  <si>
    <t>Amount due to related companies</t>
  </si>
  <si>
    <t>Amount due to associates</t>
  </si>
  <si>
    <t>Amount due to directors</t>
  </si>
  <si>
    <t>Provision for taxation</t>
  </si>
  <si>
    <t>Bank Overdraft</t>
  </si>
  <si>
    <t>Bank Acceptance / TR</t>
  </si>
  <si>
    <t>NET CURRENT ASSETS</t>
  </si>
  <si>
    <r>
      <t xml:space="preserve">LESS: </t>
    </r>
    <r>
      <rPr>
        <b/>
        <u/>
        <sz val="10"/>
        <rFont val="Arial"/>
        <family val="2"/>
      </rPr>
      <t>NON CURRENT LIABILITIES</t>
    </r>
  </si>
  <si>
    <t>LT - HP Creditors</t>
  </si>
  <si>
    <t>Long Term Loan</t>
  </si>
  <si>
    <t>Deferred tax liabilities</t>
  </si>
  <si>
    <t>CAPITAL &amp; RESERVES</t>
  </si>
  <si>
    <t>Convertible redeemable preference shares</t>
  </si>
  <si>
    <t>Share premium reserve</t>
  </si>
  <si>
    <t xml:space="preserve">Retained profits b/f </t>
  </si>
  <si>
    <t>SHAREHOLDERS' EQUITY</t>
  </si>
  <si>
    <t>ENVAIR HOLDING BERHAD  (Company No.412406-T)</t>
  </si>
  <si>
    <t>NON-CURRENT ASSETS</t>
  </si>
  <si>
    <t>Envair Holding Group's Consolidated adjustments</t>
  </si>
  <si>
    <t>Borrowing (Secured)</t>
  </si>
  <si>
    <t>NON- CURRENT LIABILITIES</t>
  </si>
  <si>
    <t>Net assets per share of RM0.10 each (sen)</t>
  </si>
  <si>
    <t xml:space="preserve">                    : Others</t>
  </si>
  <si>
    <t>Reserve on</t>
  </si>
  <si>
    <t>-</t>
  </si>
  <si>
    <t>Profits</t>
  </si>
  <si>
    <t>Preceding Year</t>
  </si>
  <si>
    <t>Corresponding</t>
  </si>
  <si>
    <t>Year-to-date</t>
  </si>
  <si>
    <t>RM('000)</t>
  </si>
  <si>
    <t>Tax refund</t>
  </si>
  <si>
    <t xml:space="preserve">Purchase of property, plant and equipment </t>
  </si>
  <si>
    <t>Net cash flows used in investing activities</t>
  </si>
  <si>
    <t>Repayment of hire purchase liabilities</t>
  </si>
  <si>
    <t>Cash and cash equivalents at end of period</t>
  </si>
  <si>
    <t>Fixed deposits with licensed bank</t>
  </si>
  <si>
    <t/>
  </si>
  <si>
    <t>3 Months Ended</t>
  </si>
  <si>
    <t>Liquid Filtration System</t>
  </si>
  <si>
    <t>Segment Revenue</t>
  </si>
  <si>
    <t>Manufacturing</t>
  </si>
  <si>
    <t>Elimination of inter-segment sales</t>
  </si>
  <si>
    <t xml:space="preserve">Total Revenue </t>
  </si>
  <si>
    <t>Segment Profit/(Loss) Before Tax</t>
  </si>
  <si>
    <t>Unallocated Cost / Elimination</t>
  </si>
  <si>
    <t>Total Loss Before Tax</t>
  </si>
  <si>
    <t>B.</t>
  </si>
  <si>
    <t>B1.</t>
  </si>
  <si>
    <t>B2.</t>
  </si>
  <si>
    <t>Variation of results against the preceding quarter</t>
  </si>
  <si>
    <t>quarter</t>
  </si>
  <si>
    <t>Loss before tax</t>
  </si>
  <si>
    <t>B3.</t>
  </si>
  <si>
    <t>Prospects for current financial year</t>
  </si>
  <si>
    <t>B4.</t>
  </si>
  <si>
    <t>Profit forecast or profit guarantee</t>
  </si>
  <si>
    <t>B5.</t>
  </si>
  <si>
    <t>Individual</t>
  </si>
  <si>
    <t>B6.</t>
  </si>
  <si>
    <t>Sale of unquoted investments and/or properties</t>
  </si>
  <si>
    <t>There were no disposal of unquoted investments or properties during the period under review.</t>
  </si>
  <si>
    <t>B7.</t>
  </si>
  <si>
    <t>Quoted and marketable securities</t>
  </si>
  <si>
    <t>B8.</t>
  </si>
  <si>
    <t xml:space="preserve">Status of corporate proposals </t>
  </si>
  <si>
    <t>B9.</t>
  </si>
  <si>
    <t>Group borrowings and debt securities</t>
  </si>
  <si>
    <t>B10.</t>
  </si>
  <si>
    <t>Off balance sheet financial instruments</t>
  </si>
  <si>
    <t>There were no off balance sheet financial instruments as at the date of this report.</t>
  </si>
  <si>
    <t>B11.</t>
  </si>
  <si>
    <t>Material litigation</t>
  </si>
  <si>
    <t>B12.</t>
  </si>
  <si>
    <t>The Directors do not recommend the payment of a dividend in respect of the current financial year.</t>
  </si>
  <si>
    <t>B13.</t>
  </si>
  <si>
    <t>Loss per share ("LPS")</t>
  </si>
  <si>
    <t>Basic LPS</t>
  </si>
  <si>
    <t>Loss for the period (RM'000)</t>
  </si>
  <si>
    <t>Basic LPS (sen)</t>
  </si>
  <si>
    <t>Current Year</t>
  </si>
  <si>
    <t>Quarter</t>
  </si>
  <si>
    <t>RM '000</t>
  </si>
  <si>
    <t>N/A</t>
  </si>
  <si>
    <t xml:space="preserve">As  at </t>
  </si>
  <si>
    <t>Bankers Acceptance / Trust Receipts</t>
  </si>
  <si>
    <t>Term Loan (Secured)</t>
  </si>
  <si>
    <t>Authorisation For Issue</t>
  </si>
  <si>
    <t>end</t>
  </si>
  <si>
    <t xml:space="preserve">      As at </t>
  </si>
  <si>
    <t>(Audited)</t>
  </si>
  <si>
    <t>(Unaudited)</t>
  </si>
  <si>
    <t>Product &amp; Ancillary Support Services</t>
  </si>
  <si>
    <t xml:space="preserve">Air Filtration System, Fast Moving Consumer </t>
  </si>
  <si>
    <t>Amount due to director</t>
  </si>
  <si>
    <t xml:space="preserve">Air Filtration System &amp; Fast Moving Consumer </t>
  </si>
  <si>
    <t>INDIVIDUAL QUARTER</t>
  </si>
  <si>
    <t>CUMULATIVE QUARTER</t>
  </si>
  <si>
    <t xml:space="preserve">Year </t>
  </si>
  <si>
    <t>To Date</t>
  </si>
  <si>
    <t>Period</t>
  </si>
  <si>
    <t xml:space="preserve">The Condensed Consolidated Income Statement should be read in conjunction with the audited financial </t>
  </si>
  <si>
    <t>SUMMARY OF KEY FINANCIAL INFORMATION</t>
  </si>
  <si>
    <t>Loss attributable to ordinary</t>
  </si>
  <si>
    <t>equity holders of the parent</t>
  </si>
  <si>
    <t>Basic loss per share (sen)</t>
  </si>
  <si>
    <t xml:space="preserve">Proposed/Declared Dividend </t>
  </si>
  <si>
    <t>per share (sen)</t>
  </si>
  <si>
    <t>As At End of</t>
  </si>
  <si>
    <t>As At Preceding</t>
  </si>
  <si>
    <t>Current Quarter</t>
  </si>
  <si>
    <t xml:space="preserve">Financial </t>
  </si>
  <si>
    <t>Year End</t>
  </si>
  <si>
    <t>Net assets per share attributable</t>
  </si>
  <si>
    <t>to ordinary equity holders of the</t>
  </si>
  <si>
    <t>Profit/(Loss) before tax</t>
  </si>
  <si>
    <t>Profit/(Loss) for the period</t>
  </si>
  <si>
    <t>Shares Issued ('000)</t>
  </si>
  <si>
    <t>Preceding</t>
  </si>
  <si>
    <t>Ordinary Shares in Issue('000)</t>
  </si>
  <si>
    <t>By Order Of The Board</t>
  </si>
  <si>
    <t>Shah Alam</t>
  </si>
  <si>
    <t>Selangor Darul Ehsan</t>
  </si>
  <si>
    <t>Profit/(Loss) for current quarter</t>
  </si>
  <si>
    <t>B14.</t>
  </si>
  <si>
    <t>Freight Inward &amp; Duty</t>
  </si>
  <si>
    <t>QFilter</t>
  </si>
  <si>
    <t>Other payables and accruals</t>
  </si>
  <si>
    <t>31.12.2009</t>
  </si>
  <si>
    <t>At 31 December 2009</t>
  </si>
  <si>
    <t>EMEC PEN</t>
  </si>
  <si>
    <t>ETSB</t>
  </si>
  <si>
    <t>Revaluation Reserve</t>
  </si>
  <si>
    <t>DIIFF A-B</t>
  </si>
  <si>
    <t>A</t>
  </si>
  <si>
    <t>B</t>
  </si>
  <si>
    <t>Gain on Disposal of Subsidiaries</t>
  </si>
  <si>
    <t>Consolidated</t>
  </si>
  <si>
    <t>loss</t>
  </si>
  <si>
    <t>profit</t>
  </si>
  <si>
    <t>Permament Adj</t>
  </si>
  <si>
    <t xml:space="preserve">Consolidation </t>
  </si>
  <si>
    <t>TOTAL CURRENT ASSET</t>
  </si>
  <si>
    <t>Q1</t>
  </si>
  <si>
    <t>Q2</t>
  </si>
  <si>
    <t>Q3</t>
  </si>
  <si>
    <t>inter co diff</t>
  </si>
  <si>
    <t>Q4</t>
  </si>
  <si>
    <t>EMEC Kl</t>
  </si>
  <si>
    <t>Revaluation</t>
  </si>
  <si>
    <t>Valuation of plant, property and equipment</t>
  </si>
  <si>
    <t xml:space="preserve">             -</t>
  </si>
  <si>
    <t>AA 31.12.2008</t>
  </si>
  <si>
    <t>Profit/Loss</t>
  </si>
  <si>
    <t>Adj 5 COI</t>
  </si>
  <si>
    <t>RESERVE</t>
  </si>
  <si>
    <t>to add to cy loss/profit</t>
  </si>
  <si>
    <t>TOTAL RESERVED</t>
  </si>
  <si>
    <t>Profit/(Loss) for current year Q4 2009</t>
  </si>
  <si>
    <t>PROFIT/(Loss)  Audited 31.12.2009</t>
  </si>
  <si>
    <t>AUDIT ADJUSMENT</t>
  </si>
  <si>
    <t>Q1 2010</t>
  </si>
  <si>
    <t>Q2 2010</t>
  </si>
  <si>
    <t>Q3 2010</t>
  </si>
  <si>
    <t>Q4 2010</t>
  </si>
  <si>
    <t>Short Term Loan</t>
  </si>
  <si>
    <t>Short Term HP Creditors</t>
  </si>
  <si>
    <t>Profit/(Loss) for current year 2010</t>
  </si>
  <si>
    <t>At 1 January 2009</t>
  </si>
  <si>
    <t>At 1 January 2010</t>
  </si>
  <si>
    <t>QES</t>
  </si>
  <si>
    <t>QSE</t>
  </si>
  <si>
    <t>Sales -  Trade</t>
  </si>
  <si>
    <t xml:space="preserve">            Interco</t>
  </si>
  <si>
    <t>Less:    Sales Tax</t>
  </si>
  <si>
    <t>Total Sales</t>
  </si>
  <si>
    <t>Cost of Sales - Std</t>
  </si>
  <si>
    <t>Purchases - FG/Trade</t>
  </si>
  <si>
    <t>Project Cost</t>
  </si>
  <si>
    <t>Gross Profit / (Loss)</t>
  </si>
  <si>
    <t>Gross Margin - %</t>
  </si>
  <si>
    <t>Less :  Operating Expenses</t>
  </si>
  <si>
    <t>Salaries</t>
  </si>
  <si>
    <t>EPF</t>
  </si>
  <si>
    <t>SOCSO</t>
  </si>
  <si>
    <t>Medical exp.</t>
  </si>
  <si>
    <t>Director's Salary / Fees</t>
  </si>
  <si>
    <t>Director's Fee -NE</t>
  </si>
  <si>
    <t>Secretarial Fees</t>
  </si>
  <si>
    <t>Legal/ Prof. Fee</t>
  </si>
  <si>
    <t>AGM Expenses</t>
  </si>
  <si>
    <t>Qfilter</t>
  </si>
  <si>
    <t>Electricity</t>
  </si>
  <si>
    <t xml:space="preserve">Water </t>
  </si>
  <si>
    <t>Office Equipment / Tools Maintenance</t>
  </si>
  <si>
    <t>Stationery/Printing/Off. Supplies</t>
  </si>
  <si>
    <t>Subscription - Periodicals</t>
  </si>
  <si>
    <t>Postage/Courier</t>
  </si>
  <si>
    <t>Telephone Exp.</t>
  </si>
  <si>
    <t>Entertainment</t>
  </si>
  <si>
    <t>Lodging &amp; Meals</t>
  </si>
  <si>
    <t>Petrol</t>
  </si>
  <si>
    <t>Motor Vehicle Maintenance</t>
  </si>
  <si>
    <t>Interco -Management Fee Exp.</t>
  </si>
  <si>
    <t xml:space="preserve">  Total Interco Charges</t>
  </si>
  <si>
    <t>Bank Charges</t>
  </si>
  <si>
    <t>Total Interco Income</t>
  </si>
  <si>
    <t>Total Other Income</t>
  </si>
  <si>
    <t>Interest Expenses - HP</t>
  </si>
  <si>
    <t>Interest Expenses - Term Loan</t>
  </si>
  <si>
    <t>Total Finance Charges</t>
  </si>
  <si>
    <t>Profit/(Loss) before Tax</t>
  </si>
  <si>
    <t>ok</t>
  </si>
  <si>
    <t>Travelling Exp.local n overseas</t>
  </si>
  <si>
    <t>Mileage Claims</t>
  </si>
  <si>
    <t>Tolls n Parking</t>
  </si>
  <si>
    <t>Mobile Phone</t>
  </si>
  <si>
    <t>Valuation Fees</t>
  </si>
  <si>
    <t>Share Placement</t>
  </si>
  <si>
    <t>Interco -Rental</t>
  </si>
  <si>
    <t>Opening Stock-Fg</t>
  </si>
  <si>
    <t xml:space="preserve">Overtime </t>
  </si>
  <si>
    <t>Allowance /Hsing/Attendance/MV</t>
  </si>
  <si>
    <t>Staff Amenities/ Welfare</t>
  </si>
  <si>
    <t>MV Insurance</t>
  </si>
  <si>
    <t>Filing Fee /other Sec/others</t>
  </si>
  <si>
    <t>InterestExpenses - OD</t>
  </si>
  <si>
    <t xml:space="preserve">statements of ENVAIR for the financial year ended 31 December 2009 </t>
  </si>
  <si>
    <t>31 Dec 2009</t>
  </si>
  <si>
    <t xml:space="preserve">FRS 4                           </t>
  </si>
  <si>
    <t>FRS 7</t>
  </si>
  <si>
    <t>FRS 123</t>
  </si>
  <si>
    <t>FRS 139</t>
  </si>
  <si>
    <t>The adoption of the new standards does not have significant financial impact on the Group.</t>
  </si>
  <si>
    <t>Add: Other Income</t>
  </si>
  <si>
    <t>Rental Income - (GFI)</t>
  </si>
  <si>
    <t>FD Interest</t>
  </si>
  <si>
    <t xml:space="preserve">Inter Co - Rental </t>
  </si>
  <si>
    <t>Inter Co - Management Fee</t>
  </si>
  <si>
    <t xml:space="preserve">  Total Other Income</t>
  </si>
  <si>
    <t>Directors - Allowance</t>
  </si>
  <si>
    <t xml:space="preserve"> Finance charge</t>
  </si>
  <si>
    <t>UBS</t>
  </si>
  <si>
    <t>Authority Charges</t>
  </si>
  <si>
    <t>Consultancy Fees</t>
  </si>
  <si>
    <t>Right Issue Expenses</t>
  </si>
  <si>
    <t>Bursa Malaysia Fees</t>
  </si>
  <si>
    <t xml:space="preserve">Cost of Sales </t>
  </si>
  <si>
    <t>Food and Refreshment</t>
  </si>
  <si>
    <t>parent (sen)</t>
  </si>
  <si>
    <t>Less: CURRENT LIABILITIES</t>
  </si>
  <si>
    <t>SHARE CAPITAL AND RESERVES</t>
  </si>
  <si>
    <t>There has been no revaluation of plant, property and equipment during the financial quarter under review.</t>
  </si>
  <si>
    <t>Audit Fees</t>
  </si>
  <si>
    <t>Marketing Expenses</t>
  </si>
  <si>
    <t>CONDENSED CONSOLIDATED AUDITED BALANCE SHEETS  AS AT 30 June 2010</t>
  </si>
  <si>
    <t>INCOME STATEMENT BY ENTITIES - AS AT Q2 2010</t>
  </si>
  <si>
    <t>YTDQ2'10</t>
  </si>
  <si>
    <t>Q2 2010- TOTAL</t>
  </si>
  <si>
    <t>30.06.2010</t>
  </si>
  <si>
    <t>30 June 2009</t>
  </si>
  <si>
    <t>At 30 June 2010</t>
  </si>
  <si>
    <t>30 June 2010</t>
  </si>
  <si>
    <t>30.06.2009</t>
  </si>
  <si>
    <t>Notes on the quarterly report - 30th June 2010</t>
  </si>
  <si>
    <t>Interest paid</t>
  </si>
  <si>
    <t>(The figures have not been audited.)</t>
  </si>
  <si>
    <t>Condensed Consolidated Statement of Comprehensive Income for the second quarter ended 30th June 2010</t>
  </si>
  <si>
    <t xml:space="preserve"> Individual Quarter </t>
  </si>
  <si>
    <t xml:space="preserve">Corresponding </t>
  </si>
  <si>
    <t xml:space="preserve">  Cumulative Quarter </t>
  </si>
  <si>
    <t>Other comprehensive income, net of tax</t>
  </si>
  <si>
    <t>Total comprehensive loss for the period</t>
  </si>
  <si>
    <t>(b) Diluted</t>
  </si>
  <si>
    <t>Condensed Consolidated Statement of Financial Position as at 30th June 2010</t>
  </si>
  <si>
    <t>quarter end</t>
  </si>
  <si>
    <t>year end</t>
  </si>
  <si>
    <t>Property, Plant and Equipment</t>
  </si>
  <si>
    <t>Trade receivables</t>
  </si>
  <si>
    <t>Other receivables and prepaid expenses</t>
  </si>
  <si>
    <t>Tax recoverables</t>
  </si>
  <si>
    <t>Tax liabilities</t>
  </si>
  <si>
    <t>The condensed consolidated statement of financial position should be read in conjunction with the annual  audited financial statements for the financial year ended 31 December 2009 and the accompanying explanatory  notes attached to the financial statements hereto.</t>
  </si>
  <si>
    <t>Condensed Consolidated Statement of Changes in Equity for the Second Quarter Ended 30th June 2010</t>
  </si>
  <si>
    <t>Retained</t>
  </si>
  <si>
    <t>Gain on revaluation of property</t>
  </si>
  <si>
    <t>Total comprehensive loss for the year</t>
  </si>
  <si>
    <t>Issuance of shares during the period</t>
  </si>
  <si>
    <t>financial year ended 31 December 2009 and the accompanying explanatory notes attached to the financial statements hereto.</t>
  </si>
  <si>
    <t>Condensed Consolidated Statement of Cash Flow For The Second Quarter Ended 30th June 2010</t>
  </si>
  <si>
    <t>Operating loss before working capital changes</t>
  </si>
  <si>
    <t>Net changes in current assets</t>
  </si>
  <si>
    <t>Net changes in current liabilities</t>
  </si>
  <si>
    <t>Cash flows from Operating activities</t>
  </si>
  <si>
    <t>Cash flows from Financing activities</t>
  </si>
  <si>
    <t>Cash flows from Investing activities</t>
  </si>
  <si>
    <t>(Increase)/Decrease in bank borrowings other than bank overdrafts</t>
  </si>
  <si>
    <t>Less: Fixed deposits pledged to financial institution</t>
  </si>
  <si>
    <t>Bank overdrafts</t>
  </si>
  <si>
    <t>ended 31 December 2009 and the accompanying explanatory notes attached to the interim financial statements.</t>
  </si>
  <si>
    <t xml:space="preserve">The Condensed Consolidated Statement of Cash Flow should be read in conjunction with the audited financial statements for the year </t>
  </si>
  <si>
    <t xml:space="preserve">The accounting policies and methods of computation adopted by the Group in this interim financial report are consistent with those adopted in the audited financial statements for the financial year ended 31 December 2009 except for the following new/revised FRSs, Amendments to FRSs and Interpretations, which the Group applied the standards from financial year beginning on 1 January 2010:                                                                                                                                  </t>
  </si>
  <si>
    <t xml:space="preserve">                                                             </t>
  </si>
  <si>
    <t xml:space="preserve">                                                                                   </t>
  </si>
  <si>
    <t>Presentation of Financial Statements</t>
  </si>
  <si>
    <t xml:space="preserve">                                 </t>
  </si>
  <si>
    <t>Borrowing Costs</t>
  </si>
  <si>
    <t>Financial Instruments : Recognition and Measurement</t>
  </si>
  <si>
    <t xml:space="preserve">FRS 101 </t>
  </si>
  <si>
    <t>First-time Adoption of Financial Reporting Standards and FRS 127</t>
  </si>
  <si>
    <t xml:space="preserve">Consolidated and Separate Financial Statements: Cost of an </t>
  </si>
  <si>
    <t>Investment in a Subsidiary, Jointly Controlled Entity or Associate</t>
  </si>
  <si>
    <t>Share-based Payment - Vesting Conditions and Cancellations</t>
  </si>
  <si>
    <t>Non-current Assets Held for Sale and Discontinued Operations</t>
  </si>
  <si>
    <t>Operating Segments</t>
  </si>
  <si>
    <t>Cash Flow Statements</t>
  </si>
  <si>
    <t>Accounting Policies, Changes in Accounting Estimates and Errors</t>
  </si>
  <si>
    <t>Events after the Reporting Period</t>
  </si>
  <si>
    <t>Leases</t>
  </si>
  <si>
    <t>Employee Benefits</t>
  </si>
  <si>
    <t>Accounting for Government Grants and Disclosures of Government</t>
  </si>
  <si>
    <t>Assistance</t>
  </si>
  <si>
    <t>Insurance Contracts</t>
  </si>
  <si>
    <t>Financial Instruments : Disclosures</t>
  </si>
  <si>
    <t>Consolidated and Separate Financial Statements</t>
  </si>
  <si>
    <t>Investment in Associates</t>
  </si>
  <si>
    <t>Financial Reporting in Hyperinflationary Economies</t>
  </si>
  <si>
    <t>Interests in Joint Ventures</t>
  </si>
  <si>
    <t>Financial Instruments: Presentation</t>
  </si>
  <si>
    <t>Interim Financial Reporting</t>
  </si>
  <si>
    <t>Impairment of Assets</t>
  </si>
  <si>
    <t>Intangible Assets</t>
  </si>
  <si>
    <t xml:space="preserve">Financial Instruments: Recognition and Measurement, FRS 7 </t>
  </si>
  <si>
    <t xml:space="preserve">Financial Instruments: Disclosure and IC Interpretation 9 </t>
  </si>
  <si>
    <t>Reassessment of Embedded Derivatives</t>
  </si>
  <si>
    <t>Investment Property</t>
  </si>
  <si>
    <t>IC Interpretation 9</t>
  </si>
  <si>
    <t>Interim Financial Reporting and Impairment</t>
  </si>
  <si>
    <t>FRS 2 - Group and Treasury Share Transactions</t>
  </si>
  <si>
    <t>Customer Loyalty Programmes</t>
  </si>
  <si>
    <t>FRS 119 - The Limit on a Defined Benefit Asset, Minimum Funding</t>
  </si>
  <si>
    <t>Requirements and their Interaction</t>
  </si>
  <si>
    <t>IC Interpretation 10</t>
  </si>
  <si>
    <t>IC Interpretation 11</t>
  </si>
  <si>
    <t>IC Interpretation 13</t>
  </si>
  <si>
    <t>IC Interpretation 14</t>
  </si>
  <si>
    <t>There were no major issuance, cancellations, repurchases, resale and repayments of debt and equity securities for the quarter under review.</t>
  </si>
  <si>
    <t>i)</t>
  </si>
  <si>
    <t>ii)</t>
  </si>
  <si>
    <t>Review of performance</t>
  </si>
  <si>
    <t>As at the date of this report the Group has no material litigation which might materially and adversely affect the position or business of the Group.</t>
  </si>
  <si>
    <t>Due to the uncertainty in economic condition, the Group expects to operate in a challenging business environment.</t>
  </si>
  <si>
    <t>Purpose</t>
  </si>
  <si>
    <t>%</t>
  </si>
  <si>
    <t>Explanation</t>
  </si>
  <si>
    <t>Working Capital</t>
  </si>
  <si>
    <t>Fully Utilised</t>
  </si>
  <si>
    <t>Expenses</t>
  </si>
  <si>
    <t>Excess or savings had been utilised for working capital</t>
  </si>
  <si>
    <t>Basic LPS is calculated by dividing the net profit or loss for the period in review by the weighted average number of ordinary shares in issue during the period.</t>
  </si>
  <si>
    <t>The Company does not have any financial instrument in issue or other contract that may entitle its holder to ordinary share which may dilute its basic loss per share.</t>
  </si>
  <si>
    <t>The Condensed Consolidated Statement of Comprehensive Income should be read in conjunction with the annual audited financial  statements for the financial year ended 31 December 2009 and the accompanying explanatory notes attached to the financial statements hereto.</t>
  </si>
  <si>
    <t>Property, plant and equipment</t>
  </si>
  <si>
    <t>Research and development expenditure</t>
  </si>
  <si>
    <t>Borrowings : Bank overdrafts</t>
  </si>
  <si>
    <t>Revaluation reserve</t>
  </si>
  <si>
    <t xml:space="preserve">          Non Distributable</t>
  </si>
  <si>
    <t xml:space="preserve">The Condensed Consolidated Statement of Changes in Equity should be read in conjunction with the annual audited financial statements for the </t>
  </si>
  <si>
    <t>Cash used in operations</t>
  </si>
  <si>
    <t>Net cash from / (used in) operating activities</t>
  </si>
  <si>
    <t>Net cash from / (used in) financing activities</t>
  </si>
  <si>
    <t>(Increase)/Decrease in fixed deposit pledged</t>
  </si>
  <si>
    <t>Proceeds from issuance of shares</t>
  </si>
  <si>
    <t>Net decrease in cash and cash equivalents</t>
  </si>
  <si>
    <t>Cash and cash equivalents at beginning of period</t>
  </si>
  <si>
    <t>Amendments to FRS 2</t>
  </si>
  <si>
    <t>Amendments to FRS 5</t>
  </si>
  <si>
    <t>Amendments to FRS 8</t>
  </si>
  <si>
    <t>Amendments to FRS 107</t>
  </si>
  <si>
    <t>Amendments to FRS 108</t>
  </si>
  <si>
    <t>Amendments to FRS 110</t>
  </si>
  <si>
    <t>Amendments to FRS 116</t>
  </si>
  <si>
    <t>Amendments to FRS 117</t>
  </si>
  <si>
    <t>Amendments to FRS 118</t>
  </si>
  <si>
    <t>Amendments to FRS 119</t>
  </si>
  <si>
    <t>Amendments to FRS 120</t>
  </si>
  <si>
    <t>Amendments to FRS 123</t>
  </si>
  <si>
    <t>Amendments to FRS 127</t>
  </si>
  <si>
    <t>Amendments to FRS 128</t>
  </si>
  <si>
    <t>Amendments to FRS 129</t>
  </si>
  <si>
    <t>Amendments to FRS 131</t>
  </si>
  <si>
    <t>Amendments to FRS 132</t>
  </si>
  <si>
    <t>Amendments to FRS 134</t>
  </si>
  <si>
    <t>Amendments to FRS 136</t>
  </si>
  <si>
    <t>Amendments to FRS 138</t>
  </si>
  <si>
    <t>Amendments to FRS 139</t>
  </si>
  <si>
    <t>Amendments to FRS 140</t>
  </si>
  <si>
    <t>There were no changes in the composition of the Group for the current year quarter other than as follows:</t>
  </si>
  <si>
    <t xml:space="preserve">The interim financial statements are unaudited and have been prepared in accordance with the Financial Reporting Standard ("FRS")134 - Interim Financial Reporting and Chapter 9, Part K Rule 9.22 of the Listing Requirements of Bursa Malaysia Securities Berhad ("Securities Exchange") for the ACE Market, and should be read in conjunction with the Group's annual audited financial statements for the financial year ended 31 December 2009. The accounting policies and methods of computation adopted by the Group in the interim unaudited financial statements are consistent with those adopted for the financial year ended 31 December 2009.    </t>
  </si>
  <si>
    <t>As of 30 June 2010, the Group has the following contingent liabilities:</t>
  </si>
  <si>
    <t>Cash and cash equivalents at end of period comprise:</t>
  </si>
  <si>
    <t>Adjustments for:</t>
  </si>
  <si>
    <t>Short-Term Borrowings:</t>
  </si>
  <si>
    <t>As at the date of this quarterly report, there are no corporate proposals announced by the Group which are pending completion except for the following:</t>
  </si>
  <si>
    <t xml:space="preserve">Not applicable as the Group has not previously provided a profit forecast in a public document or a profit guarantee.     </t>
  </si>
  <si>
    <t>Amendments to FRS 1</t>
  </si>
  <si>
    <t>Status of utilisation of the proceeds from the private placement which was completed on 12 February 2010 amounting to RM 1,078 million is set out below:</t>
  </si>
  <si>
    <t>There were no major changes in the estimates of amounts reported in prior interim periods of the current financial year or in prior financial years that have had a material effect on the results in the quarter review.</t>
  </si>
  <si>
    <t>Accumulated loss</t>
  </si>
  <si>
    <t>A wholly owned subsidiary, Quest Liquid Separation Sdn Bhd, has been wound-up by the High Court of Malaya Kuala Lumpur and the Official Receiver of the State of Malaya has been appointed as Liquidator. The loss of investment in Quest Liquid Separation Sdn Bhd amounting to RM103,000 has been recognised in the financial statements of the Company.</t>
  </si>
  <si>
    <t xml:space="preserve">No provision for income tax has been made as the Group incurred a loss for the quarter under review. </t>
  </si>
  <si>
    <t>The substantial drop in revenue for the current quarter as compared to the preceding quarter of 56.6% is mainly due to lower project and trading activities.</t>
  </si>
  <si>
    <t>On consolidated results for the second quarter ended 30th June 2010</t>
  </si>
  <si>
    <t>The auditors' report on the financial statements for the financial year ended 31 December 2009 was not subject to any qualification.</t>
  </si>
  <si>
    <t>6 Months Ended</t>
  </si>
  <si>
    <t>Investment Holding</t>
  </si>
  <si>
    <t>Total including inter-segment sales</t>
  </si>
  <si>
    <t>The Group's loss before tax for the current quarter amounting to RM0.56 million, a marginal drop as compared to the same quarter of the preceding period. This increase in the loss was mainly attributed to write off of corporate exercise expenses during the current quarter under review.</t>
  </si>
  <si>
    <t>31 March 2010</t>
  </si>
  <si>
    <t>The Group's loss before tax of RM0.563 million for the current quarter was lower as compared to the previous quarter of RM0.987 million. The lower losses was a result of lower operating expenses and lower impairment of assets.</t>
  </si>
  <si>
    <t>The Company/Group does not hold any quoted or marketable securities as at 30 June 2010. There were no purchases or disposals of quoted securities for the current quarter.</t>
  </si>
  <si>
    <t>The Company had on 11 June 2010 announced the proposed renounceable two-call rights issue of 59,277,900 new ordinary shares of RM0.10 each in Envair (“Rights Shares”) together with 29,638,950 free detachable warrants at an indicative issue price of RM0.10 per rights share on the basis of two (2) rights shares together with one (1) free detachable warrant for every four (4) existing ordinary shares of RM0.10 each in Envair (“Envair Shares”) held on an entitlement date to be determined later, of which the first call of RM0.05 (“First Call”) will be payable in cash on application and the second call of RM0.05 (“Second Call”) is to be capitalised from the Company’s share premium account (“Proposed Rights Issue”).</t>
  </si>
  <si>
    <t>The Proposed Rights Issue was not carried out as it does not comply with paragraph 6.31 of the ACE Market Listing Requirements in relation to the share premium reserves and the accumulated losses considering the latest financial position of the Group and/or the Company.</t>
  </si>
  <si>
    <t>Deviation</t>
  </si>
  <si>
    <t>Hire Purchase Creditors</t>
  </si>
  <si>
    <t>The following are the bank borrowings of the Group as at 30 June 2010:</t>
  </si>
  <si>
    <t>Non Current Borrowings:</t>
  </si>
  <si>
    <t>Corporate guarantees provided by ENVAIR to  third parties for performance of contracts awarded to its subsidiaries amounting to RM 78,800  (31 December 2009: RM 788,000).</t>
  </si>
  <si>
    <t>Corporate guarantees issued to financial institutions for banking facilities extended to certain subsidiaries amounting to RM 9,550,000.</t>
  </si>
  <si>
    <t>REQUIREMENTS (APPENDIX 9B)</t>
  </si>
  <si>
    <t xml:space="preserve">ADDITIONAL INFORMATION REQUIRED BY THE ACE MARKET LISTING </t>
  </si>
  <si>
    <t>The Group does not have any capital commitment as at 30 June 2010 safe as disclosed in the</t>
  </si>
  <si>
    <t>financial statements as at 31 December 2009.</t>
  </si>
  <si>
    <t xml:space="preserve">For the current financial quarter under review, the Group's revenue was lower at RM 1.902 million as compared  to RM 2.430 million in the same quarter last year. The decrease in Group's revenue was mainly due to lower project and trading activities.                                                                                                   </t>
  </si>
  <si>
    <t>As at the date of this report the Group will focus on new products to be introduced for the financial year ending 2010 in the trading division.</t>
  </si>
  <si>
    <t>On behalf of the Company, Public Investment Bank Berhad had on 12 April 2010 announced the proposed acquisition of 45% equity interest in Guan Fang International Marketing (M) Sdn Bhd for a total purchase consideration of RM 9,000,000.</t>
  </si>
  <si>
    <t>Audit report of preceding annual financial statements</t>
  </si>
  <si>
    <t>Nevertherless, the Group will continue to look into new products and will venture into new businesses so as to broaden the Group's revenue base.</t>
  </si>
  <si>
    <t>The Group does not expect improvement in its performance for the coming quarter.</t>
  </si>
  <si>
    <t>There were no other material events subsequent to the end of the quarter under review which is likely to substantially affect the results of the operations of the Group.</t>
  </si>
  <si>
    <t>The Interim Financial Statements were authorised for issue by the Board of Directors in accordance with a resolution of the directors dated 26 August 2010.</t>
  </si>
  <si>
    <t>Wong Yu Sun</t>
  </si>
  <si>
    <t>26 August 2010</t>
  </si>
  <si>
    <t xml:space="preserve">Proposed </t>
  </si>
  <si>
    <t>Utilisation</t>
  </si>
  <si>
    <t xml:space="preserve">Actual </t>
  </si>
</sst>
</file>

<file path=xl/styles.xml><?xml version="1.0" encoding="utf-8"?>
<styleSheet xmlns="http://schemas.openxmlformats.org/spreadsheetml/2006/main">
  <numFmts count="10">
    <numFmt numFmtId="164" formatCode="_(* #,##0_);_(* \(#,##0\);_(* &quot;-&quot;_);_(@_)"/>
    <numFmt numFmtId="165" formatCode="_(* #,##0.00_);_(* \(#,##0.00\);_(* &quot;-&quot;??_);_(@_)"/>
    <numFmt numFmtId="166" formatCode="_(* #,##0_);_(* \(#,##0\);_(* &quot;-&quot;??_);_(@_)"/>
    <numFmt numFmtId="167" formatCode="_-* #,##0_-;\-* #,##0_-;_-* &quot;-&quot;??_-;_-@_-"/>
    <numFmt numFmtId="168" formatCode="_(* #,##0.0_);_(* \(#,##0.0\);_(* &quot;-&quot;??_);_(@_)"/>
    <numFmt numFmtId="169" formatCode="_(* #,##0.000_);_(* \(#,##0.000\);_(* &quot;-&quot;??_);_(@_)"/>
    <numFmt numFmtId="170" formatCode="[$-F800]dddd\,\ mmmm\ dd\,\ yyyy"/>
    <numFmt numFmtId="171" formatCode="[$-409]mmm\-yy;@"/>
    <numFmt numFmtId="172" formatCode="0_);\(0\)"/>
    <numFmt numFmtId="173" formatCode="0.00_);\(0.00\)"/>
  </numFmts>
  <fonts count="58">
    <font>
      <sz val="11"/>
      <color theme="1"/>
      <name val="Calibri"/>
      <family val="2"/>
      <scheme val="minor"/>
    </font>
    <font>
      <sz val="10"/>
      <name val="Arial"/>
      <family val="2"/>
    </font>
    <font>
      <b/>
      <sz val="16"/>
      <name val="Arial"/>
      <family val="2"/>
    </font>
    <font>
      <b/>
      <i/>
      <sz val="12"/>
      <name val="Arial"/>
      <family val="2"/>
    </font>
    <font>
      <sz val="11"/>
      <name val="MS Sans Serif"/>
      <family val="2"/>
    </font>
    <font>
      <sz val="11"/>
      <name val="Arial"/>
      <family val="2"/>
    </font>
    <font>
      <b/>
      <sz val="14"/>
      <name val="Arial"/>
      <family val="2"/>
    </font>
    <font>
      <b/>
      <sz val="11"/>
      <name val="Arial"/>
      <family val="2"/>
    </font>
    <font>
      <sz val="11"/>
      <color indexed="9"/>
      <name val="Arial"/>
      <family val="2"/>
    </font>
    <font>
      <b/>
      <sz val="12"/>
      <name val="Arial"/>
      <family val="2"/>
    </font>
    <font>
      <sz val="12"/>
      <name val="Arial"/>
      <family val="2"/>
    </font>
    <font>
      <sz val="11"/>
      <color indexed="10"/>
      <name val="Arial"/>
      <family val="2"/>
    </font>
    <font>
      <b/>
      <sz val="10"/>
      <name val="Arial"/>
      <family val="2"/>
    </font>
    <font>
      <u/>
      <sz val="11"/>
      <name val="Arial"/>
      <family val="2"/>
    </font>
    <font>
      <b/>
      <u/>
      <sz val="11"/>
      <name val="Arial"/>
      <family val="2"/>
    </font>
    <font>
      <sz val="12"/>
      <name val="Times New Roman"/>
      <family val="1"/>
    </font>
    <font>
      <sz val="10"/>
      <name val="Arial"/>
      <family val="2"/>
    </font>
    <font>
      <b/>
      <u/>
      <sz val="10"/>
      <name val="Arial"/>
      <family val="2"/>
    </font>
    <font>
      <sz val="10"/>
      <name val="Times New Roman"/>
      <family val="1"/>
    </font>
    <font>
      <sz val="12"/>
      <name val="宋体"/>
      <charset val="134"/>
    </font>
    <font>
      <sz val="11"/>
      <color indexed="8"/>
      <name val="Calibri"/>
      <family val="2"/>
    </font>
    <font>
      <b/>
      <sz val="11"/>
      <color indexed="8"/>
      <name val="Calibri"/>
      <family val="2"/>
    </font>
    <font>
      <sz val="11"/>
      <color indexed="10"/>
      <name val="Calibri"/>
      <family val="2"/>
    </font>
    <font>
      <b/>
      <u/>
      <sz val="11"/>
      <color indexed="8"/>
      <name val="Calibri"/>
      <family val="2"/>
    </font>
    <font>
      <sz val="11"/>
      <name val="Calibri"/>
      <family val="2"/>
    </font>
    <font>
      <sz val="8"/>
      <name val="Calibri"/>
      <family val="2"/>
    </font>
    <font>
      <b/>
      <sz val="11"/>
      <color indexed="10"/>
      <name val="Arial"/>
      <family val="2"/>
    </font>
    <font>
      <b/>
      <sz val="10"/>
      <color indexed="8"/>
      <name val="Arial"/>
      <family val="2"/>
    </font>
    <font>
      <sz val="10"/>
      <color indexed="8"/>
      <name val="Arial"/>
      <family val="2"/>
    </font>
    <font>
      <sz val="8"/>
      <name val="Arial"/>
      <family val="2"/>
    </font>
    <font>
      <i/>
      <sz val="9"/>
      <name val="Arial"/>
      <family val="2"/>
    </font>
    <font>
      <b/>
      <sz val="9"/>
      <name val="Arial"/>
      <family val="2"/>
    </font>
    <font>
      <u/>
      <sz val="10"/>
      <name val="Arial"/>
      <family val="2"/>
    </font>
    <font>
      <sz val="11"/>
      <color indexed="8"/>
      <name val="Calibri"/>
      <family val="2"/>
    </font>
    <font>
      <sz val="11"/>
      <color indexed="10"/>
      <name val="Calibri"/>
      <family val="2"/>
    </font>
    <font>
      <sz val="10"/>
      <color indexed="10"/>
      <name val="Arial"/>
      <family val="2"/>
    </font>
    <font>
      <sz val="11"/>
      <color indexed="8"/>
      <name val="Arial"/>
      <family val="2"/>
    </font>
    <font>
      <b/>
      <sz val="11"/>
      <color indexed="10"/>
      <name val="Calibri"/>
      <family val="2"/>
    </font>
    <font>
      <sz val="10"/>
      <color indexed="17"/>
      <name val="Arial"/>
      <family val="2"/>
    </font>
    <font>
      <b/>
      <sz val="10"/>
      <color indexed="10"/>
      <name val="Arial"/>
      <family val="2"/>
    </font>
    <font>
      <b/>
      <sz val="10"/>
      <color indexed="14"/>
      <name val="Arial"/>
      <family val="2"/>
    </font>
    <font>
      <b/>
      <u/>
      <sz val="10"/>
      <color indexed="10"/>
      <name val="Times New Roman"/>
      <family val="1"/>
    </font>
    <font>
      <b/>
      <sz val="12"/>
      <color indexed="10"/>
      <name val="Arial"/>
      <family val="2"/>
    </font>
    <font>
      <b/>
      <i/>
      <u/>
      <sz val="10"/>
      <name val="Arial"/>
      <family val="2"/>
    </font>
    <font>
      <sz val="11"/>
      <color indexed="8"/>
      <name val="Calibri"/>
      <family val="2"/>
    </font>
    <font>
      <u/>
      <sz val="11"/>
      <color indexed="8"/>
      <name val="Calibri"/>
      <family val="2"/>
    </font>
    <font>
      <sz val="11"/>
      <color indexed="8"/>
      <name val="Comic Sans MS"/>
      <family val="4"/>
    </font>
    <font>
      <b/>
      <sz val="10"/>
      <color indexed="10"/>
      <name val="Times New Roman"/>
      <family val="1"/>
    </font>
    <font>
      <b/>
      <sz val="10"/>
      <name val="Comic Sans MS"/>
      <family val="4"/>
    </font>
    <font>
      <b/>
      <sz val="10"/>
      <color indexed="8"/>
      <name val="Comic Sans MS"/>
      <family val="4"/>
    </font>
    <font>
      <sz val="10"/>
      <color indexed="8"/>
      <name val="Comic Sans MS"/>
      <family val="4"/>
    </font>
    <font>
      <b/>
      <u/>
      <sz val="10"/>
      <name val="Comic Sans MS"/>
      <family val="4"/>
    </font>
    <font>
      <sz val="10"/>
      <name val="Comic Sans MS"/>
      <family val="4"/>
    </font>
    <font>
      <b/>
      <u/>
      <sz val="10"/>
      <color indexed="8"/>
      <name val="Comic Sans MS"/>
      <family val="4"/>
    </font>
    <font>
      <sz val="11"/>
      <color indexed="8"/>
      <name val="Calibri"/>
      <family val="2"/>
    </font>
    <font>
      <sz val="11"/>
      <color indexed="8"/>
      <name val="Arial"/>
      <family val="2"/>
    </font>
    <font>
      <sz val="11"/>
      <color theme="1"/>
      <name val="Calibri"/>
      <family val="2"/>
      <scheme val="minor"/>
    </font>
    <font>
      <sz val="9"/>
      <color theme="1"/>
      <name val="Verdana"/>
      <family val="2"/>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1"/>
        <bgColor indexed="64"/>
      </patternFill>
    </fill>
  </fills>
  <borders count="42">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top style="thin">
        <color indexed="64"/>
      </top>
      <bottom style="dashDot">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25">
    <xf numFmtId="0" fontId="0" fillId="0" borderId="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4" fontId="15" fillId="0" borderId="0"/>
    <xf numFmtId="0" fontId="57" fillId="0" borderId="0"/>
    <xf numFmtId="0" fontId="56" fillId="0" borderId="0"/>
    <xf numFmtId="0" fontId="1" fillId="0" borderId="0"/>
    <xf numFmtId="0" fontId="57" fillId="0" borderId="0"/>
    <xf numFmtId="0" fontId="19" fillId="0" borderId="0"/>
    <xf numFmtId="0" fontId="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3" fontId="5" fillId="0" borderId="0"/>
    <xf numFmtId="9" fontId="20" fillId="0" borderId="0" applyFont="0" applyFill="0" applyBorder="0" applyAlignment="0" applyProtection="0"/>
    <xf numFmtId="9" fontId="16" fillId="0" borderId="0" applyFont="0" applyFill="0" applyBorder="0" applyAlignment="0" applyProtection="0"/>
  </cellStyleXfs>
  <cellXfs count="607">
    <xf numFmtId="0" fontId="0" fillId="0" borderId="0" xfId="0"/>
    <xf numFmtId="0" fontId="2" fillId="0" borderId="0" xfId="10" applyFont="1" applyFill="1"/>
    <xf numFmtId="0" fontId="5" fillId="0" borderId="0" xfId="21" applyFont="1"/>
    <xf numFmtId="166" fontId="5" fillId="0" borderId="0" xfId="3" applyNumberFormat="1" applyFont="1"/>
    <xf numFmtId="166" fontId="5" fillId="0" borderId="0" xfId="3" applyNumberFormat="1" applyFont="1" applyAlignment="1">
      <alignment horizontal="right"/>
    </xf>
    <xf numFmtId="0" fontId="6" fillId="0" borderId="0" xfId="21" applyFont="1" applyAlignment="1">
      <alignment horizontal="left"/>
    </xf>
    <xf numFmtId="0" fontId="5" fillId="0" borderId="0" xfId="10" applyFont="1" applyAlignment="1">
      <alignment horizontal="left"/>
    </xf>
    <xf numFmtId="0" fontId="7" fillId="0" borderId="0" xfId="21" applyFont="1"/>
    <xf numFmtId="166" fontId="7" fillId="0" borderId="0" xfId="3" applyNumberFormat="1" applyFont="1" applyAlignment="1">
      <alignment horizontal="center"/>
    </xf>
    <xf numFmtId="0" fontId="5" fillId="0" borderId="0" xfId="21" applyFont="1" applyAlignment="1">
      <alignment horizontal="center"/>
    </xf>
    <xf numFmtId="166" fontId="7" fillId="0" borderId="0" xfId="3" applyNumberFormat="1" applyFont="1" applyAlignment="1">
      <alignment horizontal="right"/>
    </xf>
    <xf numFmtId="166" fontId="7" fillId="0" borderId="0" xfId="3" quotePrefix="1" applyNumberFormat="1" applyFont="1" applyFill="1" applyAlignment="1">
      <alignment horizontal="right"/>
    </xf>
    <xf numFmtId="166" fontId="7" fillId="0" borderId="0" xfId="3" applyNumberFormat="1" applyFont="1" applyFill="1" applyAlignment="1">
      <alignment horizontal="center"/>
    </xf>
    <xf numFmtId="0" fontId="7" fillId="0" borderId="0" xfId="21" applyFont="1" applyAlignment="1">
      <alignment horizontal="center"/>
    </xf>
    <xf numFmtId="166" fontId="5" fillId="0" borderId="0" xfId="3" applyNumberFormat="1" applyFont="1" applyFill="1" applyBorder="1"/>
    <xf numFmtId="167" fontId="5" fillId="0" borderId="0" xfId="3" applyNumberFormat="1" applyFont="1" applyBorder="1"/>
    <xf numFmtId="166" fontId="5" fillId="0" borderId="0" xfId="3" applyNumberFormat="1" applyFont="1" applyFill="1"/>
    <xf numFmtId="0" fontId="5" fillId="0" borderId="0" xfId="21" applyFont="1" applyFill="1"/>
    <xf numFmtId="166" fontId="5" fillId="0" borderId="0" xfId="3" applyNumberFormat="1" applyFont="1" applyBorder="1"/>
    <xf numFmtId="166" fontId="5" fillId="0" borderId="1" xfId="3" applyNumberFormat="1" applyFont="1" applyFill="1" applyBorder="1"/>
    <xf numFmtId="166" fontId="5" fillId="0" borderId="2" xfId="3" applyNumberFormat="1" applyFont="1" applyFill="1" applyBorder="1"/>
    <xf numFmtId="166" fontId="5" fillId="0" borderId="0" xfId="3" applyNumberFormat="1" applyFont="1" applyBorder="1" applyAlignment="1">
      <alignment horizontal="right"/>
    </xf>
    <xf numFmtId="0" fontId="8" fillId="0" borderId="0" xfId="21" applyFont="1"/>
    <xf numFmtId="0" fontId="9" fillId="0" borderId="0" xfId="21" applyFont="1" applyAlignment="1">
      <alignment horizontal="right"/>
    </xf>
    <xf numFmtId="0" fontId="9" fillId="0" borderId="0" xfId="21" applyFont="1"/>
    <xf numFmtId="0" fontId="9" fillId="0" borderId="0" xfId="21" applyFont="1" applyAlignment="1">
      <alignment horizontal="center"/>
    </xf>
    <xf numFmtId="0" fontId="5" fillId="0" borderId="0" xfId="21" applyFont="1" applyAlignment="1">
      <alignment horizontal="right"/>
    </xf>
    <xf numFmtId="0" fontId="9" fillId="0" borderId="0" xfId="10" applyFont="1" applyAlignment="1"/>
    <xf numFmtId="0" fontId="9" fillId="0" borderId="0" xfId="10" applyFont="1" applyAlignment="1">
      <alignment horizontal="center"/>
    </xf>
    <xf numFmtId="0" fontId="10" fillId="0" borderId="0" xfId="10" applyFont="1" applyAlignment="1">
      <alignment horizontal="right"/>
    </xf>
    <xf numFmtId="0" fontId="7" fillId="0" borderId="0" xfId="21" applyFont="1" applyFill="1" applyAlignment="1">
      <alignment horizontal="right"/>
    </xf>
    <xf numFmtId="0" fontId="7" fillId="0" borderId="0" xfId="21" quotePrefix="1" applyFont="1" applyFill="1" applyAlignment="1">
      <alignment horizontal="right"/>
    </xf>
    <xf numFmtId="14" fontId="7" fillId="0" borderId="0" xfId="21" applyNumberFormat="1" applyFont="1" applyFill="1" applyBorder="1" applyAlignment="1">
      <alignment horizontal="center"/>
    </xf>
    <xf numFmtId="15" fontId="7" fillId="0" borderId="0" xfId="21" quotePrefix="1" applyNumberFormat="1" applyFont="1" applyAlignment="1">
      <alignment horizontal="right"/>
    </xf>
    <xf numFmtId="0" fontId="7" fillId="0" borderId="0" xfId="21" applyFont="1" applyAlignment="1">
      <alignment horizontal="right"/>
    </xf>
    <xf numFmtId="166" fontId="5" fillId="0" borderId="0" xfId="21" applyNumberFormat="1" applyFont="1" applyFill="1"/>
    <xf numFmtId="166" fontId="5" fillId="0" borderId="0" xfId="21" applyNumberFormat="1" applyFont="1"/>
    <xf numFmtId="0" fontId="5" fillId="0" borderId="0" xfId="21" applyFont="1" applyAlignment="1">
      <alignment horizontal="left" indent="2"/>
    </xf>
    <xf numFmtId="166" fontId="5" fillId="0" borderId="0" xfId="21" applyNumberFormat="1" applyFont="1" applyBorder="1"/>
    <xf numFmtId="0" fontId="5" fillId="0" borderId="0" xfId="21" applyFont="1" applyFill="1" applyAlignment="1">
      <alignment horizontal="center"/>
    </xf>
    <xf numFmtId="0" fontId="7" fillId="0" borderId="0" xfId="21" applyFont="1" applyFill="1" applyAlignment="1">
      <alignment horizontal="center"/>
    </xf>
    <xf numFmtId="166" fontId="5" fillId="0" borderId="0" xfId="6" applyNumberFormat="1" applyFont="1" applyFill="1"/>
    <xf numFmtId="166" fontId="5" fillId="0" borderId="0" xfId="6" applyNumberFormat="1" applyFont="1"/>
    <xf numFmtId="166" fontId="5" fillId="0" borderId="0" xfId="21" applyNumberFormat="1" applyFont="1" applyFill="1" applyBorder="1"/>
    <xf numFmtId="166" fontId="5" fillId="0" borderId="0" xfId="6" applyNumberFormat="1" applyFont="1" applyBorder="1"/>
    <xf numFmtId="165" fontId="5" fillId="0" borderId="0" xfId="3" applyFont="1" applyBorder="1" applyAlignment="1">
      <alignment horizontal="center"/>
    </xf>
    <xf numFmtId="166" fontId="8" fillId="0" borderId="0" xfId="21" applyNumberFormat="1" applyFont="1"/>
    <xf numFmtId="0" fontId="11" fillId="0" borderId="0" xfId="21" applyFont="1"/>
    <xf numFmtId="165" fontId="5" fillId="0" borderId="0" xfId="3" applyFont="1"/>
    <xf numFmtId="0" fontId="11" fillId="0" borderId="0" xfId="21" applyFont="1" applyAlignment="1">
      <alignment horizontal="left"/>
    </xf>
    <xf numFmtId="166" fontId="9" fillId="0" borderId="0" xfId="3" applyNumberFormat="1" applyFont="1" applyAlignment="1">
      <alignment horizontal="left"/>
    </xf>
    <xf numFmtId="166" fontId="7" fillId="0" borderId="0" xfId="3" applyNumberFormat="1" applyFont="1" applyBorder="1" applyAlignment="1">
      <alignment horizontal="right"/>
    </xf>
    <xf numFmtId="166" fontId="5" fillId="0" borderId="0" xfId="3" applyNumberFormat="1" applyFont="1" applyBorder="1" applyAlignment="1">
      <alignment horizontal="center"/>
    </xf>
    <xf numFmtId="166" fontId="7" fillId="0" borderId="0" xfId="3" applyNumberFormat="1" applyFont="1" applyBorder="1"/>
    <xf numFmtId="166" fontId="7" fillId="0" borderId="0" xfId="3" applyNumberFormat="1" applyFont="1"/>
    <xf numFmtId="166" fontId="1" fillId="0" borderId="0" xfId="3" applyNumberFormat="1" applyFont="1"/>
    <xf numFmtId="49" fontId="7" fillId="0" borderId="0" xfId="3" applyNumberFormat="1" applyFont="1" applyAlignment="1">
      <alignment horizontal="left"/>
    </xf>
    <xf numFmtId="49" fontId="5" fillId="0" borderId="0" xfId="3" applyNumberFormat="1" applyFont="1"/>
    <xf numFmtId="0" fontId="1" fillId="0" borderId="0" xfId="13" applyFont="1" applyFill="1" applyAlignment="1"/>
    <xf numFmtId="0" fontId="9" fillId="0" borderId="0" xfId="13" applyFont="1" applyFill="1" applyAlignment="1"/>
    <xf numFmtId="0" fontId="12" fillId="0" borderId="0" xfId="13" applyFont="1" applyFill="1" applyAlignment="1"/>
    <xf numFmtId="0" fontId="7" fillId="0" borderId="0" xfId="13" applyFont="1" applyFill="1" applyAlignment="1"/>
    <xf numFmtId="0" fontId="5" fillId="0" borderId="0" xfId="13" applyFont="1" applyFill="1" applyAlignment="1"/>
    <xf numFmtId="0" fontId="7" fillId="0" borderId="0" xfId="13" quotePrefix="1" applyFont="1" applyFill="1" applyAlignment="1"/>
    <xf numFmtId="0" fontId="11" fillId="0" borderId="0" xfId="13" applyFont="1" applyFill="1" applyAlignment="1"/>
    <xf numFmtId="0" fontId="7" fillId="0" borderId="0" xfId="13" applyFont="1" applyFill="1" applyAlignment="1">
      <alignment horizontal="center"/>
    </xf>
    <xf numFmtId="0" fontId="7" fillId="0" borderId="0" xfId="13" quotePrefix="1" applyFont="1" applyFill="1" applyAlignment="1">
      <alignment horizontal="center"/>
    </xf>
    <xf numFmtId="0" fontId="13" fillId="0" borderId="0" xfId="13" applyFont="1" applyFill="1" applyAlignment="1">
      <alignment horizontal="justify"/>
    </xf>
    <xf numFmtId="0" fontId="5" fillId="0" borderId="0" xfId="13" applyFont="1" applyFill="1" applyAlignment="1">
      <alignment horizontal="center" wrapText="1"/>
    </xf>
    <xf numFmtId="0" fontId="5" fillId="0" borderId="0" xfId="13" applyFont="1" applyFill="1" applyAlignment="1">
      <alignment horizontal="justify"/>
    </xf>
    <xf numFmtId="0" fontId="5" fillId="0" borderId="0" xfId="13" applyFont="1" applyFill="1" applyAlignment="1">
      <alignment horizontal="justify" wrapText="1"/>
    </xf>
    <xf numFmtId="0" fontId="7" fillId="0" borderId="0" xfId="13" applyFont="1" applyFill="1" applyAlignment="1">
      <alignment wrapText="1"/>
    </xf>
    <xf numFmtId="0" fontId="5" fillId="0" borderId="0" xfId="13" applyFont="1" applyFill="1" applyAlignment="1">
      <alignment horizontal="left" wrapText="1"/>
    </xf>
    <xf numFmtId="0" fontId="5" fillId="0" borderId="0" xfId="13" applyFont="1" applyFill="1" applyAlignment="1">
      <alignment wrapText="1"/>
    </xf>
    <xf numFmtId="0" fontId="5" fillId="0" borderId="0" xfId="13" applyFont="1" applyFill="1" applyAlignment="1">
      <alignment horizontal="left"/>
    </xf>
    <xf numFmtId="0" fontId="5" fillId="0" borderId="0" xfId="13" applyFont="1"/>
    <xf numFmtId="166" fontId="7" fillId="2" borderId="0" xfId="3" quotePrefix="1" applyNumberFormat="1" applyFont="1" applyFill="1" applyAlignment="1">
      <alignment horizontal="right"/>
    </xf>
    <xf numFmtId="166" fontId="7" fillId="0" borderId="0" xfId="3" applyNumberFormat="1" applyFont="1" applyFill="1"/>
    <xf numFmtId="166" fontId="5" fillId="0" borderId="3" xfId="21" applyNumberFormat="1" applyFont="1" applyBorder="1"/>
    <xf numFmtId="166" fontId="5" fillId="0" borderId="4" xfId="21" applyNumberFormat="1" applyFont="1" applyBorder="1"/>
    <xf numFmtId="166" fontId="5" fillId="0" borderId="5" xfId="21" applyNumberFormat="1" applyFont="1" applyBorder="1"/>
    <xf numFmtId="166" fontId="5" fillId="0" borderId="1" xfId="21" applyNumberFormat="1" applyFont="1" applyBorder="1"/>
    <xf numFmtId="170" fontId="7" fillId="0" borderId="0" xfId="3" quotePrefix="1" applyNumberFormat="1" applyFont="1" applyFill="1" applyAlignment="1">
      <alignment horizontal="right"/>
    </xf>
    <xf numFmtId="166" fontId="26" fillId="0" borderId="0" xfId="21" applyNumberFormat="1" applyFont="1"/>
    <xf numFmtId="3" fontId="12" fillId="0" borderId="0" xfId="0" applyNumberFormat="1" applyFont="1" applyFill="1" applyBorder="1" applyAlignment="1"/>
    <xf numFmtId="0" fontId="18" fillId="0" borderId="0" xfId="0" applyFont="1"/>
    <xf numFmtId="0" fontId="12" fillId="0" borderId="0" xfId="0" applyFont="1"/>
    <xf numFmtId="0" fontId="1" fillId="0" borderId="0" xfId="0" applyFont="1"/>
    <xf numFmtId="0" fontId="18" fillId="0" borderId="0" xfId="0" applyFont="1" applyFill="1"/>
    <xf numFmtId="0" fontId="1" fillId="0" borderId="0" xfId="0" applyFont="1" applyFill="1"/>
    <xf numFmtId="0" fontId="12" fillId="0" borderId="0" xfId="0" applyFont="1" applyFill="1"/>
    <xf numFmtId="0" fontId="18" fillId="0" borderId="0" xfId="0" applyFont="1" applyFill="1" applyBorder="1"/>
    <xf numFmtId="0" fontId="18" fillId="0" borderId="0" xfId="0" applyFont="1" applyFill="1" applyAlignment="1">
      <alignment horizontal="center"/>
    </xf>
    <xf numFmtId="0" fontId="18" fillId="0" borderId="0" xfId="0" applyFont="1" applyAlignment="1">
      <alignment horizontal="center"/>
    </xf>
    <xf numFmtId="166" fontId="18" fillId="0" borderId="0" xfId="3" applyNumberFormat="1" applyFont="1"/>
    <xf numFmtId="0" fontId="17" fillId="0" borderId="0" xfId="0" applyFont="1" applyFill="1" applyAlignment="1">
      <alignment horizontal="center"/>
    </xf>
    <xf numFmtId="0" fontId="17" fillId="0" borderId="0" xfId="0" applyFont="1" applyFill="1" applyBorder="1" applyAlignment="1">
      <alignment horizontal="center"/>
    </xf>
    <xf numFmtId="0" fontId="1" fillId="0" borderId="0" xfId="0" applyFont="1" applyBorder="1"/>
    <xf numFmtId="0" fontId="1" fillId="0" borderId="0" xfId="0" applyFont="1" applyFill="1" applyBorder="1"/>
    <xf numFmtId="0" fontId="12" fillId="0" borderId="0" xfId="0" applyFont="1" applyFill="1" applyAlignment="1">
      <alignment horizontal="center"/>
    </xf>
    <xf numFmtId="0" fontId="17" fillId="0" borderId="0" xfId="0" applyFont="1"/>
    <xf numFmtId="166" fontId="1" fillId="0" borderId="0" xfId="3" applyNumberFormat="1" applyFont="1" applyFill="1"/>
    <xf numFmtId="166" fontId="1" fillId="0" borderId="1" xfId="3" applyNumberFormat="1" applyFont="1" applyFill="1" applyBorder="1"/>
    <xf numFmtId="166" fontId="1" fillId="0" borderId="0" xfId="3" applyNumberFormat="1" applyFont="1" applyFill="1" applyBorder="1"/>
    <xf numFmtId="166" fontId="1" fillId="0" borderId="0" xfId="3" applyNumberFormat="1" applyFont="1" applyBorder="1"/>
    <xf numFmtId="166" fontId="1" fillId="0" borderId="6" xfId="3" applyNumberFormat="1" applyFont="1" applyFill="1" applyBorder="1"/>
    <xf numFmtId="166" fontId="1" fillId="0" borderId="3" xfId="3" applyNumberFormat="1" applyFont="1" applyFill="1" applyBorder="1"/>
    <xf numFmtId="0" fontId="1" fillId="0" borderId="0" xfId="0" quotePrefix="1" applyFont="1" applyFill="1" applyAlignment="1">
      <alignment horizontal="left"/>
    </xf>
    <xf numFmtId="166" fontId="1" fillId="0" borderId="4" xfId="3" applyNumberFormat="1" applyFont="1" applyFill="1" applyBorder="1"/>
    <xf numFmtId="166" fontId="1" fillId="0" borderId="5" xfId="3" applyNumberFormat="1" applyFont="1" applyFill="1" applyBorder="1"/>
    <xf numFmtId="166" fontId="1" fillId="0" borderId="0" xfId="0" applyNumberFormat="1" applyFont="1" applyFill="1" applyBorder="1"/>
    <xf numFmtId="166" fontId="1" fillId="0" borderId="7" xfId="3" applyNumberFormat="1" applyFont="1" applyBorder="1"/>
    <xf numFmtId="0" fontId="9" fillId="0" borderId="0" xfId="0" applyFont="1"/>
    <xf numFmtId="0" fontId="17" fillId="0" borderId="0" xfId="0" quotePrefix="1" applyFont="1" applyAlignment="1">
      <alignment horizontal="left"/>
    </xf>
    <xf numFmtId="0" fontId="14" fillId="0" borderId="0" xfId="21" applyFont="1"/>
    <xf numFmtId="0" fontId="13" fillId="0" borderId="0" xfId="21" applyFont="1"/>
    <xf numFmtId="166" fontId="5" fillId="0" borderId="6" xfId="6" applyNumberFormat="1" applyFont="1" applyBorder="1"/>
    <xf numFmtId="166" fontId="5" fillId="0" borderId="4" xfId="6" applyNumberFormat="1" applyFont="1" applyBorder="1"/>
    <xf numFmtId="166" fontId="5" fillId="0" borderId="7" xfId="6" applyNumberFormat="1" applyFont="1" applyBorder="1"/>
    <xf numFmtId="166" fontId="5" fillId="0" borderId="7" xfId="21" applyNumberFormat="1" applyFont="1" applyFill="1" applyBorder="1"/>
    <xf numFmtId="0" fontId="7" fillId="0" borderId="0" xfId="0" applyFont="1" applyFill="1" applyAlignment="1">
      <alignment horizontal="center"/>
    </xf>
    <xf numFmtId="166" fontId="1" fillId="0" borderId="0" xfId="1" applyNumberFormat="1" applyFont="1" applyFill="1"/>
    <xf numFmtId="3" fontId="5" fillId="0" borderId="0" xfId="22" applyFont="1" applyFill="1"/>
    <xf numFmtId="49" fontId="7" fillId="0" borderId="0" xfId="3" applyNumberFormat="1" applyFont="1" applyFill="1" applyAlignment="1">
      <alignment horizontal="left"/>
    </xf>
    <xf numFmtId="0" fontId="14" fillId="0" borderId="0" xfId="13" applyFont="1" applyFill="1" applyAlignment="1">
      <alignment horizontal="left"/>
    </xf>
    <xf numFmtId="0" fontId="14" fillId="0" borderId="0" xfId="13" applyFont="1" applyFill="1" applyAlignment="1">
      <alignment horizontal="justify"/>
    </xf>
    <xf numFmtId="0" fontId="1" fillId="0" borderId="0" xfId="13" applyFont="1" applyFill="1" applyAlignment="1">
      <alignment horizontal="justify"/>
    </xf>
    <xf numFmtId="0" fontId="7" fillId="0" borderId="0" xfId="13" applyFont="1" applyFill="1" applyAlignment="1">
      <alignment horizontal="justify" wrapText="1"/>
    </xf>
    <xf numFmtId="0" fontId="1" fillId="0" borderId="0" xfId="13" applyFont="1" applyFill="1" applyAlignment="1">
      <alignment wrapText="1"/>
    </xf>
    <xf numFmtId="0" fontId="9" fillId="0" borderId="0" xfId="13" applyFont="1" applyFill="1" applyAlignment="1">
      <alignment horizontal="left"/>
    </xf>
    <xf numFmtId="0" fontId="7" fillId="0" borderId="0" xfId="13" applyFont="1" applyFill="1" applyAlignment="1">
      <alignment horizontal="center" wrapText="1"/>
    </xf>
    <xf numFmtId="0" fontId="11" fillId="0" borderId="0" xfId="13" applyFont="1" applyFill="1" applyAlignment="1">
      <alignment wrapText="1"/>
    </xf>
    <xf numFmtId="0" fontId="14" fillId="0" borderId="0" xfId="13" applyFont="1" applyFill="1" applyAlignment="1">
      <alignment horizontal="center" wrapText="1"/>
    </xf>
    <xf numFmtId="16" fontId="5" fillId="0" borderId="0" xfId="13" applyNumberFormat="1" applyFont="1" applyFill="1" applyAlignment="1">
      <alignment wrapText="1"/>
    </xf>
    <xf numFmtId="37" fontId="5" fillId="0" borderId="0" xfId="13" applyNumberFormat="1" applyFont="1" applyFill="1" applyAlignment="1">
      <alignment horizontal="center" wrapText="1"/>
    </xf>
    <xf numFmtId="0" fontId="5" fillId="0" borderId="0" xfId="13" applyFont="1" applyFill="1" applyBorder="1" applyAlignment="1">
      <alignment wrapText="1"/>
    </xf>
    <xf numFmtId="0" fontId="5" fillId="0" borderId="0" xfId="13" applyFont="1" applyFill="1" applyBorder="1" applyAlignment="1">
      <alignment horizontal="center"/>
    </xf>
    <xf numFmtId="15" fontId="7" fillId="0" borderId="0" xfId="13" quotePrefix="1" applyNumberFormat="1" applyFont="1" applyFill="1" applyAlignment="1">
      <alignment horizontal="center"/>
    </xf>
    <xf numFmtId="166" fontId="5" fillId="0" borderId="0" xfId="5" applyNumberFormat="1" applyFont="1" applyFill="1" applyBorder="1" applyAlignment="1">
      <alignment wrapText="1"/>
    </xf>
    <xf numFmtId="166" fontId="5" fillId="0" borderId="0" xfId="5" applyNumberFormat="1" applyFont="1" applyFill="1" applyAlignment="1">
      <alignment horizontal="left" wrapText="1"/>
    </xf>
    <xf numFmtId="15" fontId="5" fillId="0" borderId="0" xfId="13" quotePrefix="1" applyNumberFormat="1" applyFont="1" applyFill="1" applyAlignment="1">
      <alignment horizontal="center"/>
    </xf>
    <xf numFmtId="168" fontId="5" fillId="0" borderId="0" xfId="5" applyNumberFormat="1" applyFont="1" applyFill="1" applyAlignment="1">
      <alignment wrapText="1"/>
    </xf>
    <xf numFmtId="0" fontId="1" fillId="0" borderId="0" xfId="13" applyFont="1" applyFill="1" applyAlignment="1">
      <alignment horizontal="left"/>
    </xf>
    <xf numFmtId="0" fontId="1" fillId="0" borderId="0" xfId="13" applyFont="1" applyFill="1" applyAlignment="1">
      <alignment horizontal="left" wrapText="1"/>
    </xf>
    <xf numFmtId="0" fontId="1" fillId="0" borderId="0" xfId="13" applyFont="1" applyFill="1" applyAlignment="1">
      <alignment horizontal="center"/>
    </xf>
    <xf numFmtId="0" fontId="0" fillId="0" borderId="0" xfId="0" applyAlignment="1"/>
    <xf numFmtId="0" fontId="5" fillId="0" borderId="0" xfId="13" applyFont="1" applyFill="1" applyAlignment="1">
      <alignment horizontal="center" vertical="center" wrapText="1"/>
    </xf>
    <xf numFmtId="0" fontId="5" fillId="0" borderId="0" xfId="13" applyFont="1" applyFill="1" applyAlignment="1">
      <alignment horizontal="right" vertical="center" wrapText="1"/>
    </xf>
    <xf numFmtId="0" fontId="5" fillId="0" borderId="0" xfId="13" applyFont="1" applyFill="1" applyBorder="1" applyAlignment="1">
      <alignment horizontal="center" wrapText="1"/>
    </xf>
    <xf numFmtId="0" fontId="7" fillId="0" borderId="0" xfId="13" applyFont="1" applyFill="1" applyBorder="1" applyAlignment="1">
      <alignment horizontal="center" vertical="center" wrapText="1"/>
    </xf>
    <xf numFmtId="165" fontId="5" fillId="0" borderId="0" xfId="5" applyNumberFormat="1" applyFont="1" applyFill="1" applyAlignment="1">
      <alignment horizontal="center" wrapText="1"/>
    </xf>
    <xf numFmtId="0" fontId="0" fillId="0" borderId="0" xfId="0" applyAlignment="1">
      <alignment horizontal="center"/>
    </xf>
    <xf numFmtId="0" fontId="14" fillId="0" borderId="0" xfId="0" applyFont="1" applyFill="1" applyAlignment="1">
      <alignment horizontal="center"/>
    </xf>
    <xf numFmtId="0" fontId="0" fillId="0" borderId="0" xfId="0" applyFont="1"/>
    <xf numFmtId="0" fontId="5" fillId="0" borderId="0" xfId="0" applyFont="1" applyFill="1"/>
    <xf numFmtId="0" fontId="7" fillId="0" borderId="0" xfId="0" applyFont="1" applyFill="1"/>
    <xf numFmtId="0" fontId="5" fillId="0" borderId="0" xfId="0" quotePrefix="1" applyFont="1" applyFill="1" applyAlignment="1">
      <alignment horizontal="left"/>
    </xf>
    <xf numFmtId="0" fontId="5" fillId="0" borderId="0" xfId="0" applyFont="1" applyFill="1" applyAlignment="1">
      <alignment horizontal="left"/>
    </xf>
    <xf numFmtId="166" fontId="0" fillId="0" borderId="0" xfId="0" applyNumberFormat="1"/>
    <xf numFmtId="0" fontId="5" fillId="0" borderId="0" xfId="13" applyFont="1" applyFill="1" applyAlignment="1">
      <alignment horizontal="center"/>
    </xf>
    <xf numFmtId="37" fontId="5" fillId="0" borderId="0" xfId="13" applyNumberFormat="1" applyFont="1" applyFill="1" applyAlignment="1">
      <alignment wrapText="1"/>
    </xf>
    <xf numFmtId="166" fontId="5" fillId="0" borderId="0" xfId="3" quotePrefix="1" applyNumberFormat="1" applyFont="1" applyBorder="1" applyAlignment="1">
      <alignment horizontal="center"/>
    </xf>
    <xf numFmtId="166" fontId="5" fillId="0" borderId="0" xfId="3" applyNumberFormat="1" applyFont="1" applyAlignment="1">
      <alignment horizontal="center"/>
    </xf>
    <xf numFmtId="166" fontId="5" fillId="0" borderId="0" xfId="3" applyNumberFormat="1" applyFont="1" applyFill="1" applyAlignment="1">
      <alignment horizontal="center"/>
    </xf>
    <xf numFmtId="166" fontId="5" fillId="0" borderId="2" xfId="3" applyNumberFormat="1" applyFont="1" applyFill="1" applyBorder="1" applyAlignment="1">
      <alignment horizontal="center"/>
    </xf>
    <xf numFmtId="0" fontId="0" fillId="0" borderId="0" xfId="0" applyAlignment="1">
      <alignment horizontal="justify" vertical="justify" wrapText="1"/>
    </xf>
    <xf numFmtId="0" fontId="0" fillId="0" borderId="0" xfId="0" applyFill="1"/>
    <xf numFmtId="0" fontId="36" fillId="0" borderId="0" xfId="0" applyFont="1"/>
    <xf numFmtId="165" fontId="33" fillId="0" borderId="0" xfId="1" applyFont="1"/>
    <xf numFmtId="165" fontId="0" fillId="0" borderId="0" xfId="0" applyNumberFormat="1"/>
    <xf numFmtId="165" fontId="5" fillId="0" borderId="8" xfId="3" applyNumberFormat="1" applyFont="1" applyFill="1" applyBorder="1" applyAlignment="1">
      <alignment horizontal="right"/>
    </xf>
    <xf numFmtId="166" fontId="5" fillId="0" borderId="0" xfId="13" applyNumberFormat="1" applyFont="1" applyFill="1" applyAlignment="1"/>
    <xf numFmtId="166" fontId="1" fillId="0" borderId="0" xfId="3" applyNumberFormat="1" applyFont="1" applyFill="1" applyBorder="1" applyAlignment="1">
      <alignment horizontal="center"/>
    </xf>
    <xf numFmtId="166" fontId="1" fillId="0" borderId="0" xfId="3" applyNumberFormat="1" applyFont="1" applyBorder="1" applyAlignment="1">
      <alignment horizontal="center"/>
    </xf>
    <xf numFmtId="165" fontId="1" fillId="0" borderId="0" xfId="1" applyFont="1" applyBorder="1" applyAlignment="1">
      <alignment horizontal="center"/>
    </xf>
    <xf numFmtId="165" fontId="1" fillId="0" borderId="0" xfId="1" applyFont="1" applyFill="1" applyBorder="1" applyAlignment="1">
      <alignment horizontal="center"/>
    </xf>
    <xf numFmtId="165" fontId="35" fillId="0" borderId="0" xfId="1" applyFont="1" applyFill="1" applyBorder="1" applyAlignment="1">
      <alignment horizontal="center"/>
    </xf>
    <xf numFmtId="166" fontId="1" fillId="0" borderId="2" xfId="3" applyNumberFormat="1" applyFont="1" applyBorder="1" applyAlignment="1">
      <alignment horizontal="center"/>
    </xf>
    <xf numFmtId="165" fontId="1" fillId="0" borderId="2" xfId="1" applyFont="1" applyFill="1" applyBorder="1" applyAlignment="1">
      <alignment horizontal="center"/>
    </xf>
    <xf numFmtId="0" fontId="5" fillId="0" borderId="0" xfId="0" applyFont="1" applyFill="1" applyAlignment="1"/>
    <xf numFmtId="0" fontId="31" fillId="0" borderId="0" xfId="0" applyFont="1" applyFill="1"/>
    <xf numFmtId="0" fontId="31" fillId="0" borderId="0" xfId="0" applyFont="1" applyFill="1" applyAlignment="1">
      <alignment horizontal="center"/>
    </xf>
    <xf numFmtId="0" fontId="0" fillId="0" borderId="0" xfId="0" quotePrefix="1" applyFill="1" applyAlignment="1">
      <alignment horizontal="left"/>
    </xf>
    <xf numFmtId="0" fontId="0" fillId="0" borderId="0" xfId="0" applyFill="1" applyAlignment="1">
      <alignment horizontal="left"/>
    </xf>
    <xf numFmtId="0" fontId="0" fillId="0" borderId="0" xfId="0" applyFill="1" applyAlignment="1"/>
    <xf numFmtId="4" fontId="0" fillId="0" borderId="0" xfId="0" applyNumberFormat="1" applyFill="1"/>
    <xf numFmtId="4" fontId="32" fillId="0" borderId="0" xfId="0" applyNumberFormat="1" applyFont="1" applyFill="1"/>
    <xf numFmtId="4" fontId="0" fillId="0" borderId="0" xfId="0" applyNumberFormat="1" applyFill="1" applyAlignment="1">
      <alignment horizontal="center"/>
    </xf>
    <xf numFmtId="173" fontId="0" fillId="0" borderId="0" xfId="0" applyNumberFormat="1" applyFill="1" applyAlignment="1">
      <alignment horizontal="center"/>
    </xf>
    <xf numFmtId="172" fontId="0" fillId="0" borderId="0" xfId="0" applyNumberFormat="1" applyFill="1" applyAlignment="1">
      <alignment horizontal="center"/>
    </xf>
    <xf numFmtId="172" fontId="0" fillId="0" borderId="0" xfId="0" applyNumberFormat="1" applyFill="1" applyBorder="1" applyAlignment="1">
      <alignment horizontal="center"/>
    </xf>
    <xf numFmtId="165" fontId="39" fillId="0" borderId="0" xfId="1" applyFont="1" applyFill="1" applyBorder="1"/>
    <xf numFmtId="0" fontId="39" fillId="0" borderId="0" xfId="0" applyFont="1" applyFill="1"/>
    <xf numFmtId="0" fontId="22" fillId="0" borderId="0" xfId="0" applyFont="1"/>
    <xf numFmtId="166" fontId="11" fillId="0" borderId="0" xfId="1" applyNumberFormat="1" applyFont="1" applyFill="1"/>
    <xf numFmtId="166" fontId="11" fillId="0" borderId="0" xfId="1" applyNumberFormat="1" applyFont="1" applyFill="1" applyBorder="1"/>
    <xf numFmtId="0" fontId="35" fillId="0" borderId="0" xfId="13" applyFont="1" applyFill="1" applyAlignment="1">
      <alignment horizontal="center" wrapText="1"/>
    </xf>
    <xf numFmtId="0" fontId="35" fillId="0" borderId="0" xfId="13" applyFont="1" applyFill="1" applyAlignment="1"/>
    <xf numFmtId="166" fontId="35" fillId="0" borderId="0" xfId="5" applyNumberFormat="1" applyFont="1" applyFill="1" applyAlignment="1">
      <alignment horizontal="center" wrapText="1"/>
    </xf>
    <xf numFmtId="166" fontId="35" fillId="0" borderId="0" xfId="5" applyNumberFormat="1" applyFont="1" applyFill="1" applyBorder="1" applyAlignment="1">
      <alignment horizontal="right" wrapText="1"/>
    </xf>
    <xf numFmtId="166" fontId="35" fillId="0" borderId="7" xfId="5" applyNumberFormat="1" applyFont="1" applyFill="1" applyBorder="1" applyAlignment="1"/>
    <xf numFmtId="166" fontId="35" fillId="0" borderId="0" xfId="5" applyNumberFormat="1" applyFont="1" applyFill="1" applyBorder="1" applyAlignment="1"/>
    <xf numFmtId="165" fontId="35" fillId="0" borderId="0" xfId="5" applyFont="1" applyFill="1" applyBorder="1" applyAlignment="1"/>
    <xf numFmtId="166" fontId="35" fillId="0" borderId="2" xfId="5" applyNumberFormat="1" applyFont="1" applyFill="1" applyBorder="1" applyAlignment="1"/>
    <xf numFmtId="166" fontId="7" fillId="0" borderId="0" xfId="3" applyNumberFormat="1" applyFont="1" applyFill="1" applyAlignment="1">
      <alignment horizontal="right"/>
    </xf>
    <xf numFmtId="166" fontId="40" fillId="0" borderId="0" xfId="3" applyNumberFormat="1" applyFont="1" applyFill="1" applyBorder="1"/>
    <xf numFmtId="166" fontId="40" fillId="0" borderId="0" xfId="3" applyNumberFormat="1" applyFont="1" applyFill="1"/>
    <xf numFmtId="166" fontId="39" fillId="0" borderId="7" xfId="3" applyNumberFormat="1" applyFont="1" applyFill="1" applyBorder="1"/>
    <xf numFmtId="166" fontId="39" fillId="0" borderId="0" xfId="3" applyNumberFormat="1" applyFont="1" applyFill="1" applyBorder="1"/>
    <xf numFmtId="165" fontId="1" fillId="0" borderId="0" xfId="1" applyFont="1" applyFill="1" applyBorder="1"/>
    <xf numFmtId="172" fontId="5" fillId="0" borderId="0" xfId="21" applyNumberFormat="1" applyFont="1"/>
    <xf numFmtId="166" fontId="5" fillId="0" borderId="3" xfId="21" applyNumberFormat="1" applyFont="1" applyBorder="1" applyAlignment="1">
      <alignment horizontal="right"/>
    </xf>
    <xf numFmtId="0" fontId="24" fillId="0" borderId="0" xfId="0" applyFont="1"/>
    <xf numFmtId="0" fontId="24" fillId="0" borderId="0" xfId="0" applyFont="1" applyFill="1"/>
    <xf numFmtId="165" fontId="1" fillId="0" borderId="0" xfId="0" applyNumberFormat="1" applyFont="1" applyFill="1" applyBorder="1"/>
    <xf numFmtId="165" fontId="38" fillId="0" borderId="0" xfId="1" applyFont="1" applyFill="1" applyBorder="1" applyAlignment="1">
      <alignment horizontal="center"/>
    </xf>
    <xf numFmtId="166" fontId="5" fillId="0" borderId="0" xfId="3" applyNumberFormat="1" applyFont="1" applyFill="1" applyBorder="1" applyAlignment="1">
      <alignment horizontal="right"/>
    </xf>
    <xf numFmtId="166" fontId="5" fillId="0" borderId="2" xfId="3" applyNumberFormat="1" applyFont="1" applyFill="1" applyBorder="1" applyAlignment="1">
      <alignment horizontal="right"/>
    </xf>
    <xf numFmtId="0" fontId="1" fillId="0" borderId="1" xfId="0" applyFont="1" applyFill="1" applyBorder="1"/>
    <xf numFmtId="0" fontId="1" fillId="0" borderId="1" xfId="0" applyFont="1" applyBorder="1"/>
    <xf numFmtId="0" fontId="17" fillId="0" borderId="9" xfId="0" applyFont="1" applyFill="1" applyBorder="1" applyAlignment="1">
      <alignment horizontal="center"/>
    </xf>
    <xf numFmtId="0" fontId="17" fillId="0" borderId="6" xfId="0" applyFont="1" applyFill="1" applyBorder="1" applyAlignment="1">
      <alignment horizontal="center"/>
    </xf>
    <xf numFmtId="0" fontId="1" fillId="0" borderId="3" xfId="0" applyFont="1" applyFill="1" applyBorder="1"/>
    <xf numFmtId="0" fontId="17" fillId="0" borderId="3" xfId="0" applyFont="1" applyFill="1" applyBorder="1" applyAlignment="1">
      <alignment horizontal="center"/>
    </xf>
    <xf numFmtId="0" fontId="1" fillId="0" borderId="4" xfId="0" applyFont="1" applyFill="1" applyBorder="1"/>
    <xf numFmtId="166" fontId="1" fillId="0" borderId="0" xfId="1" applyNumberFormat="1" applyFont="1" applyFill="1" applyBorder="1"/>
    <xf numFmtId="165" fontId="0" fillId="0" borderId="0" xfId="0" applyNumberFormat="1" applyFill="1"/>
    <xf numFmtId="166" fontId="26" fillId="0" borderId="0" xfId="3" applyNumberFormat="1" applyFont="1" applyFill="1" applyBorder="1"/>
    <xf numFmtId="167" fontId="26" fillId="0" borderId="0" xfId="3" applyNumberFormat="1" applyFont="1" applyFill="1" applyBorder="1"/>
    <xf numFmtId="166" fontId="26" fillId="0" borderId="0" xfId="3" applyNumberFormat="1" applyFont="1" applyFill="1"/>
    <xf numFmtId="38" fontId="26" fillId="0" borderId="0" xfId="21" applyNumberFormat="1" applyFont="1" applyFill="1" applyBorder="1"/>
    <xf numFmtId="38" fontId="26" fillId="0" borderId="0" xfId="21" applyNumberFormat="1" applyFont="1" applyFill="1"/>
    <xf numFmtId="0" fontId="26" fillId="0" borderId="0" xfId="21" applyFont="1" applyFill="1"/>
    <xf numFmtId="166" fontId="42" fillId="0" borderId="0" xfId="3" applyNumberFormat="1" applyFont="1" applyAlignment="1">
      <alignment horizontal="left"/>
    </xf>
    <xf numFmtId="3" fontId="11" fillId="0" borderId="0" xfId="22" applyFont="1" applyFill="1"/>
    <xf numFmtId="3" fontId="39" fillId="0" borderId="0" xfId="22" applyFont="1" applyFill="1" applyAlignment="1">
      <alignment horizontal="right"/>
    </xf>
    <xf numFmtId="0" fontId="11" fillId="0" borderId="0" xfId="0" applyFont="1" applyFill="1" applyAlignment="1">
      <alignment horizontal="center"/>
    </xf>
    <xf numFmtId="0" fontId="11" fillId="0" borderId="0" xfId="0" applyFont="1" applyFill="1"/>
    <xf numFmtId="166" fontId="35" fillId="0" borderId="0" xfId="1" applyNumberFormat="1" applyFont="1" applyFill="1"/>
    <xf numFmtId="0" fontId="22" fillId="0" borderId="0" xfId="0" applyFont="1" applyAlignment="1">
      <alignment horizontal="justify" vertical="justify" wrapText="1"/>
    </xf>
    <xf numFmtId="0" fontId="11" fillId="0" borderId="0" xfId="13" quotePrefix="1" applyFont="1" applyFill="1" applyAlignment="1">
      <alignment horizontal="center"/>
    </xf>
    <xf numFmtId="0" fontId="35" fillId="0" borderId="0" xfId="13" applyFont="1" applyFill="1" applyBorder="1" applyAlignment="1"/>
    <xf numFmtId="0" fontId="39" fillId="0" borderId="0" xfId="0" applyFont="1"/>
    <xf numFmtId="0" fontId="39" fillId="0" borderId="0" xfId="0" applyFont="1" applyAlignment="1">
      <alignment horizontal="center"/>
    </xf>
    <xf numFmtId="166" fontId="39" fillId="0" borderId="0" xfId="3" applyNumberFormat="1" applyFont="1" applyFill="1" applyBorder="1" applyAlignment="1">
      <alignment horizontal="center"/>
    </xf>
    <xf numFmtId="166" fontId="39" fillId="0" borderId="0" xfId="3" applyNumberFormat="1" applyFont="1" applyBorder="1" applyAlignment="1">
      <alignment horizontal="center"/>
    </xf>
    <xf numFmtId="0" fontId="37" fillId="0" borderId="0" xfId="0" applyFont="1"/>
    <xf numFmtId="0" fontId="1" fillId="0" borderId="9" xfId="0" applyFont="1" applyBorder="1"/>
    <xf numFmtId="166" fontId="12" fillId="0" borderId="10" xfId="3" applyNumberFormat="1" applyFont="1" applyBorder="1"/>
    <xf numFmtId="166" fontId="12" fillId="0" borderId="11" xfId="3" applyNumberFormat="1" applyFont="1" applyBorder="1" applyAlignment="1">
      <alignment horizontal="center"/>
    </xf>
    <xf numFmtId="0" fontId="12" fillId="0" borderId="11" xfId="0" applyFont="1" applyFill="1" applyBorder="1" applyAlignment="1">
      <alignment horizontal="center"/>
    </xf>
    <xf numFmtId="166" fontId="17" fillId="0" borderId="0" xfId="3" applyNumberFormat="1" applyFont="1" applyFill="1" applyBorder="1" applyAlignment="1">
      <alignment horizontal="center"/>
    </xf>
    <xf numFmtId="166" fontId="17" fillId="0" borderId="11" xfId="3" applyNumberFormat="1" applyFont="1" applyFill="1" applyBorder="1" applyAlignment="1">
      <alignment horizontal="center"/>
    </xf>
    <xf numFmtId="166" fontId="1" fillId="0" borderId="12" xfId="3" applyNumberFormat="1" applyFont="1" applyBorder="1"/>
    <xf numFmtId="165" fontId="44" fillId="0" borderId="0" xfId="1" applyFont="1"/>
    <xf numFmtId="166" fontId="26" fillId="0" borderId="0" xfId="3" applyNumberFormat="1" applyFont="1" applyFill="1" applyAlignment="1">
      <alignment horizontal="right"/>
    </xf>
    <xf numFmtId="166" fontId="5" fillId="0" borderId="0" xfId="3" applyNumberFormat="1" applyFont="1" applyFill="1" applyAlignment="1">
      <alignment horizontal="right"/>
    </xf>
    <xf numFmtId="165" fontId="37" fillId="0" borderId="0" xfId="0" applyNumberFormat="1" applyFont="1"/>
    <xf numFmtId="166" fontId="5" fillId="0" borderId="9" xfId="3" applyNumberFormat="1" applyFont="1" applyFill="1" applyBorder="1"/>
    <xf numFmtId="0" fontId="7" fillId="0" borderId="0" xfId="0" applyFont="1" applyFill="1" applyAlignment="1"/>
    <xf numFmtId="165" fontId="5" fillId="0" borderId="0" xfId="13" applyNumberFormat="1" applyFont="1" applyFill="1" applyAlignment="1"/>
    <xf numFmtId="0" fontId="16" fillId="0" borderId="0" xfId="13" applyFont="1" applyFill="1" applyAlignment="1">
      <alignment horizontal="center" wrapText="1"/>
    </xf>
    <xf numFmtId="166" fontId="16" fillId="0" borderId="0" xfId="5" applyNumberFormat="1" applyFont="1" applyFill="1" applyBorder="1" applyAlignment="1"/>
    <xf numFmtId="166" fontId="16" fillId="0" borderId="2" xfId="5" applyNumberFormat="1" applyFont="1" applyFill="1" applyBorder="1" applyAlignment="1"/>
    <xf numFmtId="166" fontId="16" fillId="0" borderId="0" xfId="5" quotePrefix="1" applyNumberFormat="1" applyFont="1" applyFill="1" applyAlignment="1">
      <alignment horizontal="center" wrapText="1"/>
    </xf>
    <xf numFmtId="166" fontId="16" fillId="0" borderId="0" xfId="5" applyNumberFormat="1" applyFont="1" applyFill="1" applyAlignment="1">
      <alignment horizontal="center" wrapText="1"/>
    </xf>
    <xf numFmtId="0" fontId="21" fillId="0" borderId="0" xfId="0" applyFont="1"/>
    <xf numFmtId="0" fontId="36" fillId="0" borderId="0" xfId="13" applyFont="1" applyFill="1" applyAlignment="1">
      <alignment horizontal="center"/>
    </xf>
    <xf numFmtId="0" fontId="36" fillId="0" borderId="0" xfId="13" applyFont="1" applyFill="1" applyAlignment="1"/>
    <xf numFmtId="0" fontId="28" fillId="0" borderId="0" xfId="13" applyFont="1" applyFill="1" applyAlignment="1">
      <alignment horizontal="center" wrapText="1"/>
    </xf>
    <xf numFmtId="0" fontId="28" fillId="0" borderId="0" xfId="13" applyFont="1" applyFill="1" applyAlignment="1">
      <alignment horizontal="center"/>
    </xf>
    <xf numFmtId="0" fontId="28" fillId="0" borderId="0" xfId="13" applyFont="1" applyFill="1" applyAlignment="1"/>
    <xf numFmtId="166" fontId="28" fillId="0" borderId="0" xfId="5" applyNumberFormat="1" applyFont="1" applyFill="1" applyAlignment="1">
      <alignment horizontal="center" wrapText="1"/>
    </xf>
    <xf numFmtId="166" fontId="28" fillId="0" borderId="0" xfId="5" quotePrefix="1" applyNumberFormat="1" applyFont="1" applyFill="1" applyAlignment="1">
      <alignment horizontal="center" wrapText="1"/>
    </xf>
    <xf numFmtId="166" fontId="28" fillId="0" borderId="0" xfId="5" applyNumberFormat="1" applyFont="1" applyFill="1" applyBorder="1" applyAlignment="1">
      <alignment horizontal="right" wrapText="1"/>
    </xf>
    <xf numFmtId="166" fontId="28" fillId="0" borderId="0" xfId="5" applyNumberFormat="1" applyFont="1" applyFill="1" applyAlignment="1"/>
    <xf numFmtId="166" fontId="28" fillId="0" borderId="7" xfId="5" applyNumberFormat="1" applyFont="1" applyFill="1" applyBorder="1" applyAlignment="1"/>
    <xf numFmtId="166" fontId="28" fillId="0" borderId="0" xfId="5" applyNumberFormat="1" applyFont="1" applyFill="1" applyBorder="1" applyAlignment="1"/>
    <xf numFmtId="165" fontId="28" fillId="0" borderId="0" xfId="5" applyFont="1" applyFill="1" applyBorder="1" applyAlignment="1"/>
    <xf numFmtId="0" fontId="28" fillId="0" borderId="0" xfId="13" applyFont="1" applyFill="1" applyBorder="1" applyAlignment="1"/>
    <xf numFmtId="166" fontId="5" fillId="0" borderId="0" xfId="1" applyNumberFormat="1" applyFont="1" applyFill="1" applyAlignment="1">
      <alignment horizontal="center"/>
    </xf>
    <xf numFmtId="166" fontId="5" fillId="0" borderId="0" xfId="1" applyNumberFormat="1" applyFont="1" applyFill="1"/>
    <xf numFmtId="166" fontId="5" fillId="0" borderId="1" xfId="1" applyNumberFormat="1" applyFont="1" applyFill="1" applyBorder="1"/>
    <xf numFmtId="166" fontId="5" fillId="0" borderId="0" xfId="1" applyNumberFormat="1" applyFont="1" applyFill="1" applyBorder="1"/>
    <xf numFmtId="166" fontId="5" fillId="0" borderId="9" xfId="1" applyNumberFormat="1" applyFont="1" applyFill="1" applyBorder="1"/>
    <xf numFmtId="166" fontId="5" fillId="0" borderId="13" xfId="1" applyNumberFormat="1" applyFont="1" applyFill="1" applyBorder="1"/>
    <xf numFmtId="0" fontId="5" fillId="0" borderId="0" xfId="13" applyFont="1" applyFill="1" applyAlignment="1">
      <alignment horizontal="right" wrapText="1"/>
    </xf>
    <xf numFmtId="166" fontId="5" fillId="0" borderId="0" xfId="5" applyNumberFormat="1" applyFont="1" applyFill="1" applyBorder="1" applyAlignment="1">
      <alignment horizontal="center" vertical="justify" wrapText="1" readingOrder="1"/>
    </xf>
    <xf numFmtId="0" fontId="5" fillId="0" borderId="0" xfId="13" applyFont="1" applyFill="1" applyAlignment="1">
      <alignment horizontal="center" vertical="justify" wrapText="1" readingOrder="1"/>
    </xf>
    <xf numFmtId="0" fontId="5" fillId="0" borderId="0" xfId="13" applyFont="1" applyFill="1" applyBorder="1" applyAlignment="1">
      <alignment horizontal="center" vertical="justify" wrapText="1" readingOrder="1"/>
    </xf>
    <xf numFmtId="166" fontId="5" fillId="0" borderId="0" xfId="5" applyNumberFormat="1" applyFont="1" applyFill="1" applyAlignment="1">
      <alignment horizontal="center" vertical="justify" wrapText="1" readingOrder="1"/>
    </xf>
    <xf numFmtId="166" fontId="1" fillId="0" borderId="14" xfId="3" applyNumberFormat="1" applyFont="1" applyFill="1" applyBorder="1"/>
    <xf numFmtId="165" fontId="39" fillId="0" borderId="0" xfId="1" applyFont="1" applyFill="1" applyBorder="1" applyAlignment="1">
      <alignment horizontal="center"/>
    </xf>
    <xf numFmtId="166" fontId="12" fillId="0" borderId="0" xfId="3" applyNumberFormat="1" applyFont="1" applyFill="1" applyBorder="1"/>
    <xf numFmtId="0" fontId="1" fillId="0" borderId="1" xfId="0" applyFont="1" applyBorder="1" applyAlignment="1">
      <alignment horizontal="center"/>
    </xf>
    <xf numFmtId="166" fontId="0" fillId="0" borderId="0" xfId="0" applyNumberFormat="1" applyAlignment="1">
      <alignment horizontal="center"/>
    </xf>
    <xf numFmtId="165" fontId="34" fillId="0" borderId="0" xfId="1" applyFont="1" applyAlignment="1">
      <alignment horizontal="center"/>
    </xf>
    <xf numFmtId="166" fontId="12" fillId="0" borderId="0" xfId="1" applyNumberFormat="1" applyFont="1" applyFill="1" applyBorder="1"/>
    <xf numFmtId="165" fontId="39" fillId="0" borderId="0" xfId="1" applyFont="1"/>
    <xf numFmtId="0" fontId="23" fillId="0" borderId="0" xfId="0" applyFont="1" applyAlignment="1">
      <alignment horizontal="center"/>
    </xf>
    <xf numFmtId="166" fontId="12" fillId="0" borderId="0" xfId="3" applyNumberFormat="1" applyFont="1" applyFill="1"/>
    <xf numFmtId="166" fontId="39" fillId="0" borderId="3" xfId="3" applyNumberFormat="1" applyFont="1" applyFill="1" applyBorder="1"/>
    <xf numFmtId="166" fontId="21" fillId="0" borderId="0" xfId="0" applyNumberFormat="1" applyFont="1"/>
    <xf numFmtId="0" fontId="35" fillId="0" borderId="0" xfId="0" applyFont="1" applyFill="1"/>
    <xf numFmtId="0" fontId="35" fillId="0" borderId="0" xfId="0" quotePrefix="1" applyFont="1" applyFill="1" applyAlignment="1">
      <alignment horizontal="left"/>
    </xf>
    <xf numFmtId="165" fontId="1" fillId="0" borderId="0" xfId="1" applyFont="1"/>
    <xf numFmtId="0" fontId="43" fillId="0" borderId="0" xfId="0" applyFont="1" applyFill="1" applyBorder="1" applyAlignment="1">
      <alignment horizontal="center"/>
    </xf>
    <xf numFmtId="0" fontId="17" fillId="0" borderId="0" xfId="0" quotePrefix="1" applyFont="1" applyFill="1" applyBorder="1" applyAlignment="1">
      <alignment horizontal="center"/>
    </xf>
    <xf numFmtId="0" fontId="21" fillId="0" borderId="0" xfId="0" applyFont="1" applyAlignment="1">
      <alignment horizontal="center"/>
    </xf>
    <xf numFmtId="165" fontId="21" fillId="0" borderId="2" xfId="0" applyNumberFormat="1" applyFont="1" applyBorder="1"/>
    <xf numFmtId="165" fontId="54" fillId="0" borderId="0" xfId="1" applyFont="1"/>
    <xf numFmtId="165" fontId="21" fillId="0" borderId="0" xfId="0" applyNumberFormat="1" applyFont="1"/>
    <xf numFmtId="0" fontId="21" fillId="0" borderId="2" xfId="0" applyFont="1" applyBorder="1"/>
    <xf numFmtId="166" fontId="12" fillId="0" borderId="3" xfId="3" applyNumberFormat="1" applyFont="1" applyFill="1" applyBorder="1"/>
    <xf numFmtId="165" fontId="39" fillId="0" borderId="0" xfId="1" applyFont="1" applyFill="1" applyAlignment="1">
      <alignment horizontal="left" indent="1"/>
    </xf>
    <xf numFmtId="165" fontId="5" fillId="0" borderId="0" xfId="21" applyNumberFormat="1" applyFont="1"/>
    <xf numFmtId="0" fontId="45" fillId="0" borderId="0" xfId="0" applyFont="1"/>
    <xf numFmtId="0" fontId="45" fillId="0" borderId="0" xfId="0" applyFont="1" applyAlignment="1">
      <alignment horizontal="center"/>
    </xf>
    <xf numFmtId="0" fontId="12" fillId="0" borderId="0" xfId="13" applyFont="1" applyFill="1" applyAlignment="1">
      <alignment horizontal="left" wrapText="1"/>
    </xf>
    <xf numFmtId="0" fontId="2" fillId="0" borderId="0" xfId="10" applyFont="1" applyFill="1" applyAlignment="1">
      <alignment horizontal="left"/>
    </xf>
    <xf numFmtId="0" fontId="5" fillId="0" borderId="0" xfId="21" applyFont="1" applyAlignment="1">
      <alignment horizontal="left"/>
    </xf>
    <xf numFmtId="0" fontId="7" fillId="0" borderId="0" xfId="13" applyFont="1" applyFill="1" applyAlignment="1">
      <alignment horizontal="left" wrapText="1"/>
    </xf>
    <xf numFmtId="0" fontId="0" fillId="0" borderId="0" xfId="0" applyAlignment="1">
      <alignment horizontal="left"/>
    </xf>
    <xf numFmtId="0" fontId="1" fillId="0" borderId="9" xfId="0" applyFont="1" applyFill="1" applyBorder="1"/>
    <xf numFmtId="0" fontId="1" fillId="0" borderId="15" xfId="0" applyFont="1" applyBorder="1"/>
    <xf numFmtId="166" fontId="1" fillId="0" borderId="11" xfId="3" applyNumberFormat="1" applyFont="1" applyBorder="1"/>
    <xf numFmtId="0" fontId="1" fillId="0" borderId="15" xfId="0" applyFont="1" applyFill="1" applyBorder="1"/>
    <xf numFmtId="165" fontId="39" fillId="0" borderId="11" xfId="1" applyFont="1" applyFill="1" applyBorder="1" applyAlignment="1">
      <alignment horizontal="left" indent="1"/>
    </xf>
    <xf numFmtId="0" fontId="39" fillId="0" borderId="15" xfId="0" applyFont="1" applyFill="1" applyBorder="1"/>
    <xf numFmtId="165" fontId="12" fillId="0" borderId="0" xfId="3" applyNumberFormat="1" applyFont="1" applyFill="1" applyBorder="1"/>
    <xf numFmtId="0" fontId="1" fillId="0" borderId="0" xfId="0" applyFont="1" applyBorder="1" applyAlignment="1">
      <alignment horizontal="center"/>
    </xf>
    <xf numFmtId="166" fontId="1" fillId="0" borderId="0" xfId="0" applyNumberFormat="1" applyFont="1" applyBorder="1" applyAlignment="1">
      <alignment horizontal="center"/>
    </xf>
    <xf numFmtId="0" fontId="1" fillId="0" borderId="16" xfId="0" applyFont="1" applyBorder="1"/>
    <xf numFmtId="0" fontId="39" fillId="0" borderId="0" xfId="0" applyFont="1" applyFill="1" applyBorder="1"/>
    <xf numFmtId="0" fontId="1" fillId="0" borderId="17" xfId="0" applyFont="1" applyBorder="1"/>
    <xf numFmtId="0" fontId="1" fillId="0" borderId="6" xfId="0" applyFont="1" applyFill="1" applyBorder="1"/>
    <xf numFmtId="165" fontId="1" fillId="0" borderId="3" xfId="1" applyFont="1" applyFill="1" applyBorder="1"/>
    <xf numFmtId="165" fontId="1" fillId="0" borderId="3" xfId="0" applyNumberFormat="1" applyFont="1" applyFill="1" applyBorder="1"/>
    <xf numFmtId="165" fontId="44" fillId="0" borderId="0" xfId="1" applyFont="1" applyFill="1"/>
    <xf numFmtId="0" fontId="27" fillId="0" borderId="0" xfId="0" applyFont="1" applyFill="1" applyBorder="1" applyAlignment="1">
      <alignment horizontal="center"/>
    </xf>
    <xf numFmtId="38" fontId="1" fillId="0" borderId="0" xfId="1" applyNumberFormat="1" applyFont="1" applyFill="1" applyBorder="1"/>
    <xf numFmtId="38" fontId="12" fillId="0" borderId="0" xfId="1" applyNumberFormat="1" applyFont="1" applyFill="1" applyBorder="1"/>
    <xf numFmtId="9" fontId="12" fillId="0" borderId="0" xfId="23" applyFont="1" applyFill="1" applyBorder="1"/>
    <xf numFmtId="166" fontId="1" fillId="0" borderId="9" xfId="3" applyNumberFormat="1" applyFont="1" applyBorder="1"/>
    <xf numFmtId="0" fontId="1" fillId="0" borderId="18" xfId="0" applyFont="1" applyBorder="1" applyAlignment="1">
      <alignment horizontal="center"/>
    </xf>
    <xf numFmtId="0" fontId="1" fillId="0" borderId="19" xfId="0" applyFont="1" applyFill="1" applyBorder="1"/>
    <xf numFmtId="165" fontId="1" fillId="0" borderId="19" xfId="1" applyFont="1" applyFill="1" applyBorder="1" applyAlignment="1">
      <alignment horizontal="center"/>
    </xf>
    <xf numFmtId="165" fontId="1" fillId="0" borderId="19" xfId="1" applyNumberFormat="1" applyFont="1" applyBorder="1" applyAlignment="1">
      <alignment horizontal="center"/>
    </xf>
    <xf numFmtId="166" fontId="1" fillId="0" borderId="19" xfId="3" applyNumberFormat="1" applyFont="1" applyBorder="1" applyAlignment="1">
      <alignment horizontal="center"/>
    </xf>
    <xf numFmtId="165" fontId="1" fillId="0" borderId="19" xfId="1" applyFont="1" applyBorder="1" applyAlignment="1">
      <alignment horizontal="center"/>
    </xf>
    <xf numFmtId="165" fontId="1" fillId="0" borderId="20" xfId="1" applyFont="1" applyBorder="1" applyAlignment="1">
      <alignment horizontal="center"/>
    </xf>
    <xf numFmtId="0" fontId="1" fillId="0" borderId="21" xfId="0" applyFont="1" applyBorder="1" applyAlignment="1">
      <alignment horizontal="center"/>
    </xf>
    <xf numFmtId="0" fontId="1" fillId="0" borderId="0" xfId="0" applyFont="1" applyBorder="1" applyAlignment="1">
      <alignment horizontal="left"/>
    </xf>
    <xf numFmtId="165" fontId="1" fillId="0" borderId="22" xfId="1" applyFont="1" applyBorder="1" applyAlignment="1">
      <alignment horizontal="center"/>
    </xf>
    <xf numFmtId="0" fontId="35" fillId="0" borderId="21" xfId="0" applyFont="1" applyBorder="1" applyAlignment="1">
      <alignment horizontal="center"/>
    </xf>
    <xf numFmtId="0" fontId="35" fillId="0" borderId="0" xfId="0" applyFont="1" applyBorder="1" applyAlignment="1">
      <alignment horizontal="left"/>
    </xf>
    <xf numFmtId="0" fontId="35" fillId="0" borderId="0" xfId="0" applyFont="1" applyBorder="1" applyAlignment="1">
      <alignment horizontal="center"/>
    </xf>
    <xf numFmtId="166" fontId="1" fillId="0" borderId="23" xfId="1" applyNumberFormat="1" applyFont="1" applyBorder="1" applyAlignment="1">
      <alignment horizontal="center"/>
    </xf>
    <xf numFmtId="166" fontId="1" fillId="0" borderId="22" xfId="3" applyNumberFormat="1" applyFont="1" applyBorder="1" applyAlignment="1">
      <alignment horizontal="center"/>
    </xf>
    <xf numFmtId="0" fontId="1" fillId="0" borderId="24" xfId="0" applyFont="1" applyBorder="1"/>
    <xf numFmtId="0" fontId="1" fillId="0" borderId="25" xfId="0" applyFont="1" applyBorder="1"/>
    <xf numFmtId="165" fontId="12" fillId="0" borderId="25" xfId="3" applyNumberFormat="1" applyFont="1" applyFill="1" applyBorder="1"/>
    <xf numFmtId="166" fontId="1" fillId="0" borderId="25" xfId="3" applyNumberFormat="1" applyFont="1" applyBorder="1"/>
    <xf numFmtId="166" fontId="1" fillId="0" borderId="26" xfId="3" applyNumberFormat="1" applyFont="1" applyBorder="1"/>
    <xf numFmtId="165" fontId="1" fillId="0" borderId="0" xfId="1" applyFont="1" applyFill="1"/>
    <xf numFmtId="0" fontId="11" fillId="0" borderId="0" xfId="0" applyFont="1" applyFill="1" applyAlignment="1"/>
    <xf numFmtId="166" fontId="39" fillId="3" borderId="7" xfId="3" applyNumberFormat="1" applyFont="1" applyFill="1" applyBorder="1"/>
    <xf numFmtId="166" fontId="37" fillId="3" borderId="0" xfId="0" applyNumberFormat="1" applyFont="1" applyFill="1" applyAlignment="1">
      <alignment horizontal="center"/>
    </xf>
    <xf numFmtId="166" fontId="5" fillId="0" borderId="25" xfId="1" applyNumberFormat="1" applyFont="1" applyFill="1" applyBorder="1"/>
    <xf numFmtId="3" fontId="5" fillId="0" borderId="0" xfId="13" applyNumberFormat="1" applyFont="1" applyFill="1" applyAlignment="1">
      <alignment horizontal="center" wrapText="1"/>
    </xf>
    <xf numFmtId="166" fontId="7" fillId="0" borderId="0" xfId="3" applyNumberFormat="1" applyFont="1" applyFill="1" applyBorder="1"/>
    <xf numFmtId="166" fontId="7" fillId="0" borderId="0" xfId="3" applyNumberFormat="1" applyFont="1" applyFill="1" applyBorder="1" applyAlignment="1">
      <alignment horizontal="right"/>
    </xf>
    <xf numFmtId="3" fontId="12" fillId="0" borderId="0" xfId="0" applyNumberFormat="1" applyFont="1" applyFill="1" applyAlignment="1"/>
    <xf numFmtId="3" fontId="12" fillId="0" borderId="0" xfId="0" applyNumberFormat="1" applyFont="1" applyAlignment="1"/>
    <xf numFmtId="3" fontId="39" fillId="0" borderId="0" xfId="0" applyNumberFormat="1" applyFont="1" applyFill="1" applyAlignment="1"/>
    <xf numFmtId="3" fontId="12" fillId="0" borderId="0" xfId="0" applyNumberFormat="1" applyFont="1" applyBorder="1" applyAlignment="1"/>
    <xf numFmtId="3" fontId="39" fillId="0" borderId="0" xfId="0" applyNumberFormat="1" applyFont="1" applyFill="1" applyBorder="1" applyAlignment="1"/>
    <xf numFmtId="3" fontId="12" fillId="0" borderId="0" xfId="0" applyNumberFormat="1" applyFont="1"/>
    <xf numFmtId="3" fontId="27" fillId="0" borderId="0" xfId="0" applyNumberFormat="1" applyFont="1"/>
    <xf numFmtId="171" fontId="12" fillId="0" borderId="0" xfId="0" applyNumberFormat="1" applyFont="1" applyFill="1" applyBorder="1" applyAlignment="1">
      <alignment horizontal="center"/>
    </xf>
    <xf numFmtId="171" fontId="12" fillId="0" borderId="0" xfId="0" applyNumberFormat="1" applyFont="1" applyBorder="1" applyAlignment="1">
      <alignment horizontal="center"/>
    </xf>
    <xf numFmtId="171" fontId="39" fillId="0" borderId="0" xfId="0" applyNumberFormat="1" applyFont="1" applyFill="1" applyBorder="1" applyAlignment="1">
      <alignment horizontal="center"/>
    </xf>
    <xf numFmtId="38" fontId="1" fillId="0" borderId="0" xfId="1" applyNumberFormat="1" applyFont="1" applyBorder="1"/>
    <xf numFmtId="38" fontId="1" fillId="0" borderId="3" xfId="1" applyNumberFormat="1" applyFont="1" applyFill="1" applyBorder="1"/>
    <xf numFmtId="38" fontId="1" fillId="0" borderId="15" xfId="1" applyNumberFormat="1" applyFont="1" applyFill="1" applyBorder="1"/>
    <xf numFmtId="38" fontId="1" fillId="0" borderId="9" xfId="1" applyNumberFormat="1" applyFont="1" applyFill="1" applyBorder="1"/>
    <xf numFmtId="38" fontId="1" fillId="0" borderId="9" xfId="1" applyNumberFormat="1" applyFont="1" applyBorder="1"/>
    <xf numFmtId="38" fontId="1" fillId="0" borderId="6" xfId="1" applyNumberFormat="1" applyFont="1" applyFill="1" applyBorder="1"/>
    <xf numFmtId="165" fontId="1" fillId="0" borderId="16" xfId="1" applyFont="1" applyFill="1" applyBorder="1"/>
    <xf numFmtId="38" fontId="35" fillId="0" borderId="0" xfId="1" applyNumberFormat="1" applyFont="1" applyFill="1" applyBorder="1"/>
    <xf numFmtId="38" fontId="1" fillId="0" borderId="16" xfId="1" applyNumberFormat="1" applyFont="1" applyFill="1" applyBorder="1"/>
    <xf numFmtId="38" fontId="12" fillId="0" borderId="0" xfId="1" applyNumberFormat="1" applyFont="1" applyBorder="1"/>
    <xf numFmtId="38" fontId="39" fillId="0" borderId="0" xfId="1" applyNumberFormat="1" applyFont="1" applyFill="1" applyBorder="1"/>
    <xf numFmtId="38" fontId="12" fillId="0" borderId="3" xfId="1" applyNumberFormat="1" applyFont="1" applyFill="1" applyBorder="1"/>
    <xf numFmtId="38" fontId="12" fillId="0" borderId="15" xfId="1" applyNumberFormat="1" applyFont="1" applyFill="1" applyBorder="1"/>
    <xf numFmtId="38" fontId="12" fillId="0" borderId="7" xfId="1" applyNumberFormat="1" applyFont="1" applyFill="1" applyBorder="1"/>
    <xf numFmtId="38" fontId="12" fillId="4" borderId="27" xfId="1" applyNumberFormat="1" applyFont="1" applyFill="1" applyBorder="1"/>
    <xf numFmtId="9" fontId="12" fillId="0" borderId="0" xfId="23" applyFont="1" applyBorder="1"/>
    <xf numFmtId="9" fontId="39" fillId="0" borderId="0" xfId="23" applyFont="1" applyFill="1" applyBorder="1"/>
    <xf numFmtId="9" fontId="12" fillId="0" borderId="3" xfId="23" applyFont="1" applyFill="1" applyBorder="1"/>
    <xf numFmtId="9" fontId="12" fillId="0" borderId="15" xfId="23" applyFont="1" applyFill="1" applyBorder="1"/>
    <xf numFmtId="38" fontId="12" fillId="0" borderId="13" xfId="1" applyNumberFormat="1" applyFont="1" applyFill="1" applyBorder="1"/>
    <xf numFmtId="38" fontId="12" fillId="0" borderId="5" xfId="1" applyNumberFormat="1" applyFont="1" applyFill="1" applyBorder="1"/>
    <xf numFmtId="38" fontId="1" fillId="0" borderId="13" xfId="1" applyNumberFormat="1" applyFont="1" applyFill="1" applyBorder="1"/>
    <xf numFmtId="38" fontId="1" fillId="0" borderId="5" xfId="1" applyNumberFormat="1" applyFont="1" applyFill="1" applyBorder="1"/>
    <xf numFmtId="38" fontId="1" fillId="0" borderId="14" xfId="1" applyNumberFormat="1" applyFont="1" applyFill="1" applyBorder="1"/>
    <xf numFmtId="38" fontId="1" fillId="0" borderId="28" xfId="1" applyNumberFormat="1" applyFont="1" applyFill="1" applyBorder="1"/>
    <xf numFmtId="38" fontId="1" fillId="0" borderId="28" xfId="1" applyNumberFormat="1" applyFont="1" applyBorder="1"/>
    <xf numFmtId="38" fontId="1" fillId="0" borderId="29" xfId="1" applyNumberFormat="1" applyFont="1" applyFill="1" applyBorder="1"/>
    <xf numFmtId="38" fontId="1" fillId="0" borderId="30" xfId="1" applyNumberFormat="1" applyFont="1" applyFill="1" applyBorder="1"/>
    <xf numFmtId="165" fontId="27" fillId="0" borderId="2" xfId="1" applyFont="1" applyFill="1" applyBorder="1" applyAlignment="1">
      <alignment horizontal="right"/>
    </xf>
    <xf numFmtId="165" fontId="27" fillId="0" borderId="31" xfId="1" applyFont="1" applyFill="1" applyBorder="1" applyAlignment="1">
      <alignment horizontal="right"/>
    </xf>
    <xf numFmtId="165" fontId="27" fillId="0" borderId="0" xfId="1" applyFont="1" applyFill="1" applyBorder="1"/>
    <xf numFmtId="0" fontId="47" fillId="0" borderId="0" xfId="0" applyFont="1" applyFill="1" applyAlignment="1">
      <alignment horizontal="center"/>
    </xf>
    <xf numFmtId="0" fontId="17" fillId="0" borderId="15" xfId="0" applyFont="1" applyFill="1" applyBorder="1" applyAlignment="1">
      <alignment horizontal="center"/>
    </xf>
    <xf numFmtId="0" fontId="1" fillId="0" borderId="17" xfId="0" applyFont="1" applyFill="1" applyBorder="1"/>
    <xf numFmtId="38" fontId="1" fillId="0" borderId="0" xfId="0" applyNumberFormat="1" applyFont="1" applyFill="1"/>
    <xf numFmtId="0" fontId="41" fillId="0" borderId="0" xfId="0" applyFont="1" applyFill="1" applyAlignment="1">
      <alignment horizontal="center"/>
    </xf>
    <xf numFmtId="166" fontId="29" fillId="0" borderId="0" xfId="3" applyNumberFormat="1" applyFont="1" applyFill="1" applyAlignment="1">
      <alignment horizontal="right"/>
    </xf>
    <xf numFmtId="0" fontId="21" fillId="0" borderId="0" xfId="0" applyFont="1" applyFill="1" applyAlignment="1">
      <alignment horizontal="center"/>
    </xf>
    <xf numFmtId="165" fontId="21" fillId="0" borderId="2" xfId="0" applyNumberFormat="1" applyFont="1" applyFill="1" applyBorder="1"/>
    <xf numFmtId="165" fontId="54" fillId="0" borderId="0" xfId="1" applyFont="1" applyFill="1"/>
    <xf numFmtId="0" fontId="21" fillId="0" borderId="2" xfId="0" applyFont="1" applyFill="1" applyBorder="1"/>
    <xf numFmtId="166" fontId="35" fillId="0" borderId="0" xfId="3" applyNumberFormat="1" applyFont="1" applyFill="1" applyBorder="1"/>
    <xf numFmtId="0" fontId="49" fillId="0" borderId="0" xfId="0" applyFont="1"/>
    <xf numFmtId="3" fontId="48" fillId="0" borderId="0" xfId="0" applyNumberFormat="1" applyFont="1" applyFill="1" applyAlignment="1"/>
    <xf numFmtId="0" fontId="49" fillId="0" borderId="0" xfId="0" quotePrefix="1" applyFont="1" applyAlignment="1">
      <alignment horizontal="left"/>
    </xf>
    <xf numFmtId="3" fontId="48" fillId="0" borderId="0" xfId="0" applyNumberFormat="1" applyFont="1" applyFill="1" applyBorder="1" applyAlignment="1"/>
    <xf numFmtId="3" fontId="48" fillId="0" borderId="0" xfId="0" applyNumberFormat="1" applyFont="1"/>
    <xf numFmtId="166" fontId="5" fillId="0" borderId="1" xfId="21" applyNumberFormat="1" applyFont="1" applyFill="1" applyBorder="1"/>
    <xf numFmtId="166" fontId="5" fillId="0" borderId="3" xfId="21" applyNumberFormat="1" applyFont="1" applyFill="1" applyBorder="1"/>
    <xf numFmtId="166" fontId="5" fillId="0" borderId="4" xfId="21" applyNumberFormat="1" applyFont="1" applyFill="1" applyBorder="1"/>
    <xf numFmtId="166" fontId="5" fillId="0" borderId="3" xfId="21" applyNumberFormat="1" applyFont="1" applyFill="1" applyBorder="1" applyAlignment="1"/>
    <xf numFmtId="166" fontId="5" fillId="0" borderId="5" xfId="21" applyNumberFormat="1" applyFont="1" applyFill="1" applyBorder="1"/>
    <xf numFmtId="166" fontId="5" fillId="0" borderId="0" xfId="6" applyNumberFormat="1" applyFont="1" applyFill="1" applyBorder="1"/>
    <xf numFmtId="166" fontId="5" fillId="0" borderId="6" xfId="6" applyNumberFormat="1" applyFont="1" applyFill="1" applyBorder="1"/>
    <xf numFmtId="166" fontId="5" fillId="0" borderId="4" xfId="6" applyNumberFormat="1" applyFont="1" applyFill="1" applyBorder="1"/>
    <xf numFmtId="166" fontId="5" fillId="0" borderId="7" xfId="6" applyNumberFormat="1" applyFont="1" applyFill="1" applyBorder="1"/>
    <xf numFmtId="166" fontId="5" fillId="0" borderId="0" xfId="21" applyNumberFormat="1" applyFont="1" applyFill="1" applyAlignment="1">
      <alignment horizontal="center"/>
    </xf>
    <xf numFmtId="172" fontId="5" fillId="0" borderId="0" xfId="21" applyNumberFormat="1" applyFont="1" applyFill="1"/>
    <xf numFmtId="166" fontId="28" fillId="0" borderId="0" xfId="5" applyNumberFormat="1" applyFont="1" applyFill="1" applyAlignment="1">
      <alignment wrapText="1"/>
    </xf>
    <xf numFmtId="166" fontId="28" fillId="0" borderId="0" xfId="5" applyNumberFormat="1" applyFont="1" applyFill="1" applyAlignment="1">
      <alignment horizontal="right" wrapText="1"/>
    </xf>
    <xf numFmtId="1" fontId="28" fillId="0" borderId="1" xfId="13" applyNumberFormat="1" applyFont="1" applyFill="1" applyBorder="1" applyAlignment="1"/>
    <xf numFmtId="165" fontId="28" fillId="0" borderId="0" xfId="5" applyFont="1" applyFill="1" applyAlignment="1"/>
    <xf numFmtId="166" fontId="1" fillId="0" borderId="0" xfId="5" applyNumberFormat="1" applyFont="1" applyFill="1" applyAlignment="1"/>
    <xf numFmtId="166" fontId="28" fillId="0" borderId="2" xfId="5" applyNumberFormat="1" applyFont="1" applyFill="1" applyBorder="1" applyAlignment="1"/>
    <xf numFmtId="0" fontId="28" fillId="0" borderId="0" xfId="5" applyNumberFormat="1" applyFont="1" applyFill="1" applyAlignment="1">
      <alignment horizontal="center" wrapText="1"/>
    </xf>
    <xf numFmtId="166" fontId="1" fillId="0" borderId="0" xfId="5" applyNumberFormat="1" applyFont="1" applyFill="1" applyBorder="1" applyAlignment="1"/>
    <xf numFmtId="171" fontId="12" fillId="0" borderId="3" xfId="0" applyNumberFormat="1" applyFont="1" applyFill="1" applyBorder="1" applyAlignment="1">
      <alignment horizontal="center"/>
    </xf>
    <xf numFmtId="171" fontId="12" fillId="0" borderId="15" xfId="0" applyNumberFormat="1" applyFont="1" applyFill="1" applyBorder="1" applyAlignment="1">
      <alignment horizontal="center"/>
    </xf>
    <xf numFmtId="3" fontId="12" fillId="0" borderId="15" xfId="0" applyNumberFormat="1" applyFont="1" applyFill="1" applyBorder="1" applyAlignment="1">
      <alignment horizontal="center"/>
    </xf>
    <xf numFmtId="17" fontId="48" fillId="3" borderId="32" xfId="1" applyNumberFormat="1" applyFont="1" applyFill="1" applyBorder="1" applyAlignment="1">
      <alignment horizontal="center" wrapText="1"/>
    </xf>
    <xf numFmtId="17" fontId="48" fillId="3" borderId="33" xfId="1" applyNumberFormat="1" applyFont="1" applyFill="1" applyBorder="1" applyAlignment="1">
      <alignment horizontal="center" wrapText="1"/>
    </xf>
    <xf numFmtId="0" fontId="27" fillId="0" borderId="34" xfId="0" applyFont="1" applyFill="1" applyBorder="1" applyAlignment="1">
      <alignment horizontal="center"/>
    </xf>
    <xf numFmtId="17" fontId="48" fillId="3" borderId="35" xfId="1" applyNumberFormat="1" applyFont="1" applyFill="1" applyBorder="1" applyAlignment="1">
      <alignment horizontal="center" wrapText="1"/>
    </xf>
    <xf numFmtId="172" fontId="0" fillId="0" borderId="0" xfId="0" quotePrefix="1" applyNumberFormat="1" applyFill="1" applyAlignment="1">
      <alignment horizontal="center"/>
    </xf>
    <xf numFmtId="0" fontId="5" fillId="0" borderId="0" xfId="13" applyFont="1" applyFill="1" applyAlignment="1">
      <alignment horizontal="justify" vertical="top"/>
    </xf>
    <xf numFmtId="0" fontId="5" fillId="0" borderId="0" xfId="13" applyFont="1" applyFill="1" applyAlignment="1">
      <alignment horizontal="center" vertical="top"/>
    </xf>
    <xf numFmtId="0" fontId="5" fillId="0" borderId="0" xfId="13" applyFont="1" applyFill="1" applyAlignment="1">
      <alignment horizontal="left" vertical="top"/>
    </xf>
    <xf numFmtId="38" fontId="1" fillId="0" borderId="0" xfId="1" applyNumberFormat="1" applyFont="1" applyFill="1" applyBorder="1" applyAlignment="1">
      <alignment horizontal="center"/>
    </xf>
    <xf numFmtId="38" fontId="1" fillId="0" borderId="9" xfId="1" applyNumberFormat="1" applyFont="1" applyFill="1" applyBorder="1" applyAlignment="1">
      <alignment horizontal="center"/>
    </xf>
    <xf numFmtId="38" fontId="12" fillId="0" borderId="7" xfId="1" applyNumberFormat="1" applyFont="1" applyFill="1" applyBorder="1" applyAlignment="1">
      <alignment horizontal="center"/>
    </xf>
    <xf numFmtId="165" fontId="48" fillId="3" borderId="36" xfId="1" applyFont="1" applyFill="1" applyBorder="1" applyAlignment="1">
      <alignment horizontal="center"/>
    </xf>
    <xf numFmtId="0" fontId="49" fillId="3" borderId="36" xfId="0" quotePrefix="1" applyFont="1" applyFill="1" applyBorder="1" applyAlignment="1">
      <alignment horizontal="center"/>
    </xf>
    <xf numFmtId="0" fontId="49" fillId="3" borderId="19" xfId="0" quotePrefix="1" applyFont="1" applyFill="1" applyBorder="1" applyAlignment="1">
      <alignment horizontal="center"/>
    </xf>
    <xf numFmtId="0" fontId="49" fillId="3" borderId="37" xfId="0" applyFont="1" applyFill="1" applyBorder="1" applyAlignment="1">
      <alignment horizontal="center"/>
    </xf>
    <xf numFmtId="17" fontId="48" fillId="3" borderId="38" xfId="1" applyNumberFormat="1" applyFont="1" applyFill="1" applyBorder="1" applyAlignment="1">
      <alignment horizontal="center" wrapText="1"/>
    </xf>
    <xf numFmtId="17" fontId="48" fillId="3" borderId="25" xfId="1" applyNumberFormat="1" applyFont="1" applyFill="1" applyBorder="1" applyAlignment="1">
      <alignment horizontal="center" wrapText="1"/>
    </xf>
    <xf numFmtId="0" fontId="49" fillId="3" borderId="38" xfId="0" applyFont="1" applyFill="1" applyBorder="1" applyAlignment="1">
      <alignment horizontal="center"/>
    </xf>
    <xf numFmtId="0" fontId="49" fillId="3" borderId="25" xfId="0" applyFont="1" applyFill="1" applyBorder="1" applyAlignment="1">
      <alignment horizontal="center"/>
    </xf>
    <xf numFmtId="0" fontId="49" fillId="3" borderId="39" xfId="0" applyFont="1" applyFill="1" applyBorder="1" applyAlignment="1">
      <alignment horizontal="center"/>
    </xf>
    <xf numFmtId="38" fontId="35" fillId="0" borderId="0" xfId="1" applyNumberFormat="1" applyFont="1" applyFill="1" applyBorder="1" applyAlignment="1">
      <alignment horizontal="center"/>
    </xf>
    <xf numFmtId="9" fontId="39" fillId="0" borderId="0" xfId="23" applyFont="1" applyFill="1" applyBorder="1" applyAlignment="1">
      <alignment horizontal="center"/>
    </xf>
    <xf numFmtId="38" fontId="1" fillId="0" borderId="28" xfId="1" applyNumberFormat="1" applyFont="1" applyFill="1" applyBorder="1" applyAlignment="1">
      <alignment horizontal="center"/>
    </xf>
    <xf numFmtId="38" fontId="39" fillId="0" borderId="0" xfId="1" applyNumberFormat="1" applyFont="1" applyFill="1" applyBorder="1" applyAlignment="1">
      <alignment horizontal="center"/>
    </xf>
    <xf numFmtId="49" fontId="50" fillId="0" borderId="0" xfId="0" applyNumberFormat="1" applyFont="1" applyAlignment="1">
      <alignment horizontal="left"/>
    </xf>
    <xf numFmtId="49" fontId="49" fillId="0" borderId="0" xfId="0" applyNumberFormat="1" applyFont="1" applyAlignment="1">
      <alignment horizontal="left"/>
    </xf>
    <xf numFmtId="3" fontId="51" fillId="0" borderId="0" xfId="0" applyNumberFormat="1" applyFont="1"/>
    <xf numFmtId="3" fontId="52" fillId="0" borderId="0" xfId="0" applyNumberFormat="1" applyFont="1"/>
    <xf numFmtId="0" fontId="52" fillId="0" borderId="0" xfId="0" applyFont="1" applyAlignment="1">
      <alignment horizontal="left"/>
    </xf>
    <xf numFmtId="3" fontId="48" fillId="0" borderId="13" xfId="0" applyNumberFormat="1" applyFont="1" applyBorder="1"/>
    <xf numFmtId="3" fontId="48" fillId="0" borderId="0" xfId="0" applyNumberFormat="1" applyFont="1" applyBorder="1"/>
    <xf numFmtId="3" fontId="53" fillId="0" borderId="0" xfId="0" applyNumberFormat="1" applyFont="1" applyAlignment="1">
      <alignment horizontal="left"/>
    </xf>
    <xf numFmtId="49" fontId="50" fillId="0" borderId="0" xfId="0" applyNumberFormat="1" applyFont="1" applyBorder="1" applyAlignment="1">
      <alignment horizontal="left"/>
    </xf>
    <xf numFmtId="3" fontId="52" fillId="0" borderId="0" xfId="0" applyNumberFormat="1" applyFont="1" applyBorder="1"/>
    <xf numFmtId="49" fontId="53" fillId="0" borderId="0" xfId="0" applyNumberFormat="1" applyFont="1" applyAlignment="1">
      <alignment horizontal="left"/>
    </xf>
    <xf numFmtId="49" fontId="50" fillId="0" borderId="0" xfId="0" quotePrefix="1" applyNumberFormat="1" applyFont="1" applyAlignment="1">
      <alignment horizontal="left"/>
    </xf>
    <xf numFmtId="3" fontId="49" fillId="0" borderId="0" xfId="0" applyNumberFormat="1" applyFont="1" applyAlignment="1">
      <alignment horizontal="left"/>
    </xf>
    <xf numFmtId="3" fontId="50" fillId="0" borderId="0" xfId="0" applyNumberFormat="1" applyFont="1" applyAlignment="1">
      <alignment horizontal="left"/>
    </xf>
    <xf numFmtId="0" fontId="48" fillId="0" borderId="0" xfId="0" applyFont="1"/>
    <xf numFmtId="3" fontId="49" fillId="0" borderId="0" xfId="0" applyNumberFormat="1" applyFont="1"/>
    <xf numFmtId="3" fontId="50" fillId="0" borderId="0" xfId="0" applyNumberFormat="1" applyFont="1" applyBorder="1" applyAlignment="1">
      <alignment horizontal="left"/>
    </xf>
    <xf numFmtId="0" fontId="46" fillId="0" borderId="0" xfId="0" applyFont="1"/>
    <xf numFmtId="0" fontId="49" fillId="3" borderId="40" xfId="0" applyFont="1" applyFill="1" applyBorder="1" applyAlignment="1">
      <alignment horizontal="center"/>
    </xf>
    <xf numFmtId="38" fontId="12" fillId="0" borderId="9" xfId="1" applyNumberFormat="1" applyFont="1" applyFill="1" applyBorder="1"/>
    <xf numFmtId="38" fontId="12" fillId="0" borderId="9" xfId="1" applyNumberFormat="1" applyFont="1" applyBorder="1"/>
    <xf numFmtId="38" fontId="12" fillId="0" borderId="6" xfId="1" applyNumberFormat="1" applyFont="1" applyFill="1" applyBorder="1"/>
    <xf numFmtId="3" fontId="52" fillId="0" borderId="0" xfId="0" applyNumberFormat="1" applyFont="1" applyFill="1" applyBorder="1"/>
    <xf numFmtId="3" fontId="48" fillId="0" borderId="0" xfId="0" applyNumberFormat="1" applyFont="1" applyAlignment="1">
      <alignment horizontal="center"/>
    </xf>
    <xf numFmtId="3" fontId="51" fillId="0" borderId="0" xfId="0" applyNumberFormat="1" applyFont="1" applyBorder="1" applyAlignment="1">
      <alignment horizontal="left"/>
    </xf>
    <xf numFmtId="0" fontId="46" fillId="0" borderId="0" xfId="0" applyFont="1" applyAlignment="1">
      <alignment horizontal="center"/>
    </xf>
    <xf numFmtId="38" fontId="35" fillId="0" borderId="3" xfId="1" applyNumberFormat="1" applyFont="1" applyFill="1" applyBorder="1"/>
    <xf numFmtId="38" fontId="35" fillId="0" borderId="5" xfId="1" applyNumberFormat="1" applyFont="1" applyFill="1" applyBorder="1"/>
    <xf numFmtId="38" fontId="35" fillId="0" borderId="0" xfId="1" applyNumberFormat="1" applyFont="1" applyFill="1" applyBorder="1" applyAlignment="1"/>
    <xf numFmtId="166" fontId="12" fillId="0" borderId="7" xfId="1" applyNumberFormat="1" applyFont="1" applyFill="1" applyBorder="1"/>
    <xf numFmtId="0" fontId="27" fillId="0" borderId="41" xfId="0" applyFont="1" applyFill="1" applyBorder="1" applyAlignment="1">
      <alignment horizontal="center"/>
    </xf>
    <xf numFmtId="9" fontId="12" fillId="0" borderId="6" xfId="23" applyFont="1" applyFill="1" applyBorder="1"/>
    <xf numFmtId="38" fontId="12" fillId="0" borderId="4" xfId="1" applyNumberFormat="1" applyFont="1" applyFill="1" applyBorder="1"/>
    <xf numFmtId="165" fontId="5" fillId="0" borderId="8" xfId="1" applyNumberFormat="1" applyFont="1" applyFill="1" applyBorder="1" applyAlignment="1">
      <alignment horizontal="right"/>
    </xf>
    <xf numFmtId="165" fontId="5" fillId="0" borderId="8" xfId="3" applyNumberFormat="1" applyFont="1" applyFill="1" applyBorder="1" applyAlignment="1">
      <alignment horizontal="center"/>
    </xf>
    <xf numFmtId="4" fontId="32" fillId="0" borderId="0" xfId="0" applyNumberFormat="1" applyFont="1" applyFill="1" applyAlignment="1">
      <alignment horizontal="center"/>
    </xf>
    <xf numFmtId="2" fontId="32" fillId="0" borderId="0" xfId="0" applyNumberFormat="1" applyFont="1" applyFill="1" applyBorder="1" applyAlignment="1">
      <alignment horizontal="center"/>
    </xf>
    <xf numFmtId="166" fontId="5" fillId="0" borderId="7" xfId="1" applyNumberFormat="1" applyFont="1" applyFill="1" applyBorder="1"/>
    <xf numFmtId="166" fontId="35" fillId="0" borderId="0" xfId="1" applyNumberFormat="1" applyFont="1" applyFill="1" applyAlignment="1">
      <alignment horizontal="center"/>
    </xf>
    <xf numFmtId="167" fontId="5" fillId="0" borderId="0" xfId="3" applyNumberFormat="1" applyFont="1" applyFill="1" applyBorder="1"/>
    <xf numFmtId="38" fontId="5" fillId="0" borderId="0" xfId="21" applyNumberFormat="1" applyFont="1" applyFill="1" applyBorder="1"/>
    <xf numFmtId="38" fontId="5" fillId="0" borderId="0" xfId="21" applyNumberFormat="1" applyFont="1" applyFill="1"/>
    <xf numFmtId="169" fontId="5" fillId="0" borderId="0" xfId="3" applyNumberFormat="1" applyFont="1" applyFill="1" applyBorder="1" applyAlignment="1">
      <alignment horizontal="right"/>
    </xf>
    <xf numFmtId="165" fontId="5" fillId="0" borderId="0" xfId="1" applyFont="1" applyFill="1" applyBorder="1" applyAlignment="1">
      <alignment horizontal="right"/>
    </xf>
    <xf numFmtId="166" fontId="11" fillId="0" borderId="0" xfId="3" applyNumberFormat="1" applyFont="1" applyFill="1"/>
    <xf numFmtId="0" fontId="22" fillId="0" borderId="0" xfId="0" applyFont="1" applyFill="1" applyAlignment="1">
      <alignment horizontal="justify" vertical="justify" wrapText="1"/>
    </xf>
    <xf numFmtId="0" fontId="22" fillId="0" borderId="0" xfId="0" applyFont="1" applyFill="1"/>
    <xf numFmtId="166" fontId="1" fillId="0" borderId="0" xfId="5" applyNumberFormat="1" applyFont="1" applyFill="1" applyAlignment="1">
      <alignment horizontal="right" wrapText="1"/>
    </xf>
    <xf numFmtId="166" fontId="1" fillId="0" borderId="0" xfId="5" applyNumberFormat="1" applyFont="1" applyFill="1" applyBorder="1" applyAlignment="1">
      <alignment horizontal="right" wrapText="1"/>
    </xf>
    <xf numFmtId="1" fontId="1" fillId="0" borderId="1" xfId="13" applyNumberFormat="1" applyFont="1" applyFill="1" applyBorder="1" applyAlignment="1"/>
    <xf numFmtId="166" fontId="1" fillId="0" borderId="7" xfId="5" applyNumberFormat="1" applyFont="1" applyFill="1" applyBorder="1" applyAlignment="1"/>
    <xf numFmtId="165" fontId="1" fillId="0" borderId="0" xfId="5" applyFont="1" applyFill="1" applyBorder="1" applyAlignment="1"/>
    <xf numFmtId="165" fontId="1" fillId="0" borderId="0" xfId="5" applyFont="1" applyFill="1" applyAlignment="1"/>
    <xf numFmtId="166" fontId="1" fillId="0" borderId="2" xfId="5" applyNumberFormat="1" applyFont="1" applyFill="1" applyBorder="1" applyAlignment="1"/>
    <xf numFmtId="166" fontId="5" fillId="0" borderId="0" xfId="5" applyNumberFormat="1" applyFont="1" applyFill="1" applyBorder="1" applyAlignment="1">
      <alignment horizontal="center" wrapText="1"/>
    </xf>
    <xf numFmtId="166" fontId="5" fillId="0" borderId="0" xfId="5" applyNumberFormat="1" applyFont="1" applyFill="1" applyAlignment="1">
      <alignment horizontal="center" wrapText="1"/>
    </xf>
    <xf numFmtId="0" fontId="36" fillId="0" borderId="0" xfId="0" applyFont="1" applyFill="1"/>
    <xf numFmtId="0" fontId="55" fillId="0" borderId="0" xfId="0" applyFont="1" applyAlignment="1">
      <alignment horizontal="justify"/>
    </xf>
    <xf numFmtId="165" fontId="5" fillId="0" borderId="0" xfId="3" applyNumberFormat="1" applyFont="1" applyFill="1" applyBorder="1" applyAlignment="1">
      <alignment horizontal="right"/>
    </xf>
    <xf numFmtId="165" fontId="26" fillId="0" borderId="0" xfId="3" applyNumberFormat="1" applyFont="1" applyFill="1" applyBorder="1" applyAlignment="1">
      <alignment horizontal="right"/>
    </xf>
    <xf numFmtId="166" fontId="5" fillId="0" borderId="8" xfId="3" applyNumberFormat="1" applyFont="1" applyFill="1" applyBorder="1" applyAlignment="1">
      <alignment horizontal="right"/>
    </xf>
    <xf numFmtId="49" fontId="5" fillId="0" borderId="0" xfId="3" applyNumberFormat="1" applyFont="1" applyAlignment="1">
      <alignment vertical="justify"/>
    </xf>
    <xf numFmtId="166" fontId="42" fillId="0" borderId="0" xfId="3" applyNumberFormat="1" applyFont="1" applyBorder="1" applyAlignment="1">
      <alignment horizontal="left"/>
    </xf>
    <xf numFmtId="3" fontId="11" fillId="0" borderId="0" xfId="22" applyFont="1" applyFill="1" applyBorder="1"/>
    <xf numFmtId="0" fontId="11" fillId="0" borderId="0" xfId="0" applyFont="1" applyFill="1" applyBorder="1" applyAlignment="1">
      <alignment horizontal="center"/>
    </xf>
    <xf numFmtId="166" fontId="26" fillId="0" borderId="0" xfId="1" applyNumberFormat="1" applyFont="1" applyFill="1" applyBorder="1" applyAlignment="1">
      <alignment horizontal="center"/>
    </xf>
    <xf numFmtId="0" fontId="11" fillId="0" borderId="0" xfId="0" applyFont="1" applyFill="1" applyBorder="1"/>
    <xf numFmtId="166" fontId="35" fillId="0" borderId="0" xfId="1" applyNumberFormat="1" applyFont="1" applyFill="1" applyBorder="1"/>
    <xf numFmtId="0" fontId="22" fillId="0" borderId="0" xfId="0" applyFont="1" applyBorder="1"/>
    <xf numFmtId="0" fontId="22" fillId="0" borderId="0" xfId="0" applyFont="1" applyBorder="1" applyAlignment="1">
      <alignment horizontal="justify" vertical="justify" wrapText="1"/>
    </xf>
    <xf numFmtId="0" fontId="5" fillId="0" borderId="0" xfId="13" applyFont="1" applyFill="1" applyAlignment="1">
      <alignment vertical="top"/>
    </xf>
    <xf numFmtId="0" fontId="5" fillId="0" borderId="0" xfId="0" applyFont="1" applyFill="1" applyAlignment="1">
      <alignment horizontal="center"/>
    </xf>
    <xf numFmtId="0" fontId="5" fillId="0" borderId="13" xfId="0" applyFont="1" applyFill="1" applyBorder="1" applyAlignment="1">
      <alignment horizontal="center"/>
    </xf>
    <xf numFmtId="0" fontId="0" fillId="0" borderId="0" xfId="0" applyFont="1" applyAlignment="1"/>
    <xf numFmtId="0" fontId="7" fillId="0" borderId="0" xfId="13" applyFont="1" applyFill="1" applyAlignment="1">
      <alignment horizontal="left"/>
    </xf>
    <xf numFmtId="165" fontId="5" fillId="0" borderId="0" xfId="3" applyNumberFormat="1" applyFont="1" applyFill="1" applyBorder="1" applyAlignment="1">
      <alignment horizontal="center"/>
    </xf>
    <xf numFmtId="0" fontId="5" fillId="0" borderId="0" xfId="0" applyFont="1" applyFill="1" applyBorder="1" applyAlignment="1">
      <alignment horizontal="center"/>
    </xf>
    <xf numFmtId="164" fontId="5" fillId="0" borderId="0" xfId="2" applyFont="1" applyFill="1" applyAlignment="1">
      <alignment horizontal="right" vertical="center" wrapText="1"/>
    </xf>
    <xf numFmtId="164" fontId="5" fillId="0" borderId="0" xfId="2" applyFont="1" applyFill="1" applyAlignment="1">
      <alignment horizontal="right" wrapText="1"/>
    </xf>
    <xf numFmtId="164" fontId="5" fillId="0" borderId="2" xfId="2" applyFont="1" applyFill="1" applyBorder="1" applyAlignment="1">
      <alignment horizontal="right" vertical="center" wrapText="1"/>
    </xf>
    <xf numFmtId="164" fontId="5" fillId="0" borderId="0" xfId="2" applyFont="1" applyFill="1" applyBorder="1" applyAlignment="1">
      <alignment horizontal="right" wrapText="1"/>
    </xf>
    <xf numFmtId="164" fontId="54" fillId="0" borderId="0" xfId="2" applyFont="1" applyAlignment="1">
      <alignment horizontal="right"/>
    </xf>
    <xf numFmtId="164" fontId="54" fillId="0" borderId="0" xfId="2" applyFont="1"/>
    <xf numFmtId="164" fontId="5" fillId="0" borderId="0" xfId="2" applyFont="1" applyFill="1" applyAlignment="1">
      <alignment wrapText="1"/>
    </xf>
    <xf numFmtId="164" fontId="5" fillId="0" borderId="0" xfId="2" applyFont="1" applyFill="1" applyAlignment="1">
      <alignment horizontal="center" wrapText="1"/>
    </xf>
    <xf numFmtId="164" fontId="5" fillId="0" borderId="2" xfId="2" applyFont="1" applyFill="1" applyBorder="1" applyAlignment="1">
      <alignment horizontal="center" vertical="center" wrapText="1"/>
    </xf>
    <xf numFmtId="166" fontId="5" fillId="0" borderId="6" xfId="21" applyNumberFormat="1" applyFont="1" applyFill="1" applyBorder="1"/>
    <xf numFmtId="166" fontId="5" fillId="0" borderId="6" xfId="21" applyNumberFormat="1" applyFont="1" applyBorder="1"/>
    <xf numFmtId="166" fontId="5" fillId="0" borderId="0" xfId="1" quotePrefix="1" applyNumberFormat="1" applyFont="1" applyFill="1" applyAlignment="1">
      <alignment horizontal="center"/>
    </xf>
    <xf numFmtId="0" fontId="0" fillId="0" borderId="0" xfId="0" applyAlignment="1">
      <alignment horizontal="justify" vertical="top" wrapText="1"/>
    </xf>
    <xf numFmtId="0" fontId="36" fillId="0" borderId="0" xfId="13" quotePrefix="1" applyFont="1" applyFill="1" applyAlignment="1">
      <alignment horizontal="center"/>
    </xf>
    <xf numFmtId="0" fontId="5" fillId="0" borderId="0" xfId="0" applyFont="1" applyFill="1" applyAlignment="1">
      <alignment horizontal="justify"/>
    </xf>
    <xf numFmtId="0" fontId="5" fillId="0" borderId="0" xfId="13" quotePrefix="1" applyFont="1" applyFill="1" applyAlignment="1">
      <alignment horizontal="center" wrapText="1"/>
    </xf>
    <xf numFmtId="165" fontId="5" fillId="0" borderId="0" xfId="1" quotePrefix="1" applyFont="1" applyFill="1" applyAlignment="1">
      <alignment horizontal="center"/>
    </xf>
    <xf numFmtId="0" fontId="5" fillId="0" borderId="0" xfId="0" quotePrefix="1" applyFont="1" applyFill="1" applyAlignment="1">
      <alignment horizontal="center"/>
    </xf>
    <xf numFmtId="0" fontId="11" fillId="0" borderId="0" xfId="0" applyFont="1" applyFill="1" applyBorder="1" applyAlignment="1"/>
    <xf numFmtId="165" fontId="5" fillId="0" borderId="0" xfId="5" applyNumberFormat="1" applyFont="1" applyFill="1" applyBorder="1" applyAlignment="1">
      <alignment horizontal="center" vertical="justify" wrapText="1" readingOrder="1"/>
    </xf>
    <xf numFmtId="165" fontId="5" fillId="0" borderId="8" xfId="5" applyNumberFormat="1" applyFont="1" applyFill="1" applyBorder="1" applyAlignment="1">
      <alignment horizontal="center" vertical="justify" wrapText="1" readingOrder="1"/>
    </xf>
    <xf numFmtId="15" fontId="5" fillId="0" borderId="0" xfId="0" quotePrefix="1" applyNumberFormat="1" applyFont="1" applyFill="1" applyBorder="1"/>
    <xf numFmtId="0" fontId="5" fillId="0" borderId="0" xfId="13" applyFont="1" applyAlignment="1"/>
    <xf numFmtId="0" fontId="0" fillId="0" borderId="3" xfId="0" applyBorder="1"/>
    <xf numFmtId="0" fontId="12" fillId="0" borderId="0" xfId="0" applyFont="1" applyFill="1" applyAlignment="1">
      <alignment horizontal="center"/>
    </xf>
    <xf numFmtId="166" fontId="7" fillId="0" borderId="0" xfId="3" applyNumberFormat="1" applyFont="1" applyAlignment="1">
      <alignment horizontal="center"/>
    </xf>
    <xf numFmtId="0" fontId="5" fillId="0" borderId="0" xfId="21" applyFont="1" applyFill="1" applyAlignment="1">
      <alignment horizontal="justify"/>
    </xf>
    <xf numFmtId="0" fontId="5" fillId="0" borderId="0" xfId="21" applyFont="1" applyAlignment="1">
      <alignment horizontal="justify"/>
    </xf>
    <xf numFmtId="166" fontId="7" fillId="0" borderId="0" xfId="3" applyNumberFormat="1" applyFont="1" applyBorder="1" applyAlignment="1">
      <alignment horizontal="center"/>
    </xf>
    <xf numFmtId="166" fontId="5" fillId="0" borderId="0" xfId="3" applyNumberFormat="1" applyFont="1" applyAlignment="1">
      <alignment horizontal="justify"/>
    </xf>
    <xf numFmtId="0" fontId="9" fillId="0" borderId="0" xfId="0" applyFont="1" applyFill="1" applyAlignment="1">
      <alignment horizontal="center"/>
    </xf>
    <xf numFmtId="0" fontId="1" fillId="0" borderId="0" xfId="0" applyFont="1" applyFill="1" applyAlignment="1">
      <alignment horizontal="center"/>
    </xf>
    <xf numFmtId="0" fontId="30" fillId="0" borderId="0" xfId="0" applyFont="1" applyFill="1" applyAlignment="1">
      <alignment horizontal="center"/>
    </xf>
    <xf numFmtId="0" fontId="7" fillId="0" borderId="0" xfId="0" applyFont="1" applyFill="1" applyAlignment="1">
      <alignment horizontal="center"/>
    </xf>
    <xf numFmtId="0" fontId="5" fillId="0" borderId="0" xfId="13" applyFont="1" applyFill="1" applyAlignment="1">
      <alignment horizontal="justify"/>
    </xf>
    <xf numFmtId="0" fontId="5" fillId="0" borderId="0" xfId="13" applyFont="1" applyFill="1" applyAlignment="1">
      <alignment horizontal="justify" vertical="top"/>
    </xf>
    <xf numFmtId="0" fontId="5" fillId="0" borderId="0" xfId="13" applyFont="1" applyFill="1" applyAlignment="1">
      <alignment horizontal="right" vertical="top"/>
    </xf>
    <xf numFmtId="0" fontId="5" fillId="0" borderId="0" xfId="13" applyFont="1" applyFill="1" applyAlignment="1"/>
    <xf numFmtId="0" fontId="5" fillId="0" borderId="0" xfId="13" applyFont="1" applyAlignment="1"/>
    <xf numFmtId="0" fontId="0" fillId="0" borderId="0" xfId="0" applyAlignment="1"/>
    <xf numFmtId="0" fontId="5" fillId="0" borderId="0" xfId="13" applyFont="1" applyFill="1" applyAlignment="1">
      <alignment horizontal="justify" vertical="top" wrapText="1"/>
    </xf>
    <xf numFmtId="0" fontId="0" fillId="0" borderId="0" xfId="0" applyAlignment="1">
      <alignment horizontal="justify" vertical="top" wrapText="1"/>
    </xf>
    <xf numFmtId="0" fontId="5" fillId="0" borderId="0" xfId="0" applyFont="1" applyFill="1" applyAlignment="1">
      <alignment horizontal="justify"/>
    </xf>
    <xf numFmtId="0" fontId="5" fillId="0" borderId="0" xfId="0" applyFont="1" applyFill="1" applyBorder="1" applyAlignment="1">
      <alignment horizontal="justify"/>
    </xf>
    <xf numFmtId="0" fontId="5" fillId="0" borderId="0" xfId="13" quotePrefix="1" applyFont="1" applyFill="1" applyAlignment="1">
      <alignment horizontal="center" wrapText="1"/>
    </xf>
    <xf numFmtId="0" fontId="5" fillId="0" borderId="0" xfId="0" applyFont="1" applyFill="1" applyAlignment="1">
      <alignment horizontal="center" vertical="center"/>
    </xf>
    <xf numFmtId="0" fontId="5" fillId="0" borderId="0" xfId="13" quotePrefix="1" applyFont="1" applyFill="1" applyAlignment="1">
      <alignment horizontal="center" vertical="center" wrapText="1"/>
    </xf>
    <xf numFmtId="0" fontId="36" fillId="0" borderId="0" xfId="0" applyFont="1" applyFill="1" applyAlignment="1">
      <alignment horizontal="justify"/>
    </xf>
    <xf numFmtId="0" fontId="55" fillId="0" borderId="0" xfId="0" applyFont="1" applyAlignment="1">
      <alignment horizontal="justify"/>
    </xf>
    <xf numFmtId="0" fontId="55" fillId="0" borderId="0" xfId="0" applyFont="1" applyAlignment="1">
      <alignment horizontal="justify" vertical="top" wrapText="1"/>
    </xf>
    <xf numFmtId="165" fontId="48" fillId="3" borderId="33" xfId="1" applyFont="1" applyFill="1" applyBorder="1" applyAlignment="1">
      <alignment horizontal="center"/>
    </xf>
    <xf numFmtId="0" fontId="17" fillId="0" borderId="16" xfId="0" applyFont="1" applyFill="1" applyBorder="1" applyAlignment="1">
      <alignment horizontal="center"/>
    </xf>
    <xf numFmtId="0" fontId="17" fillId="0" borderId="9" xfId="0" applyFont="1" applyFill="1" applyBorder="1" applyAlignment="1">
      <alignment horizontal="center"/>
    </xf>
    <xf numFmtId="166" fontId="17" fillId="0" borderId="0" xfId="3" applyNumberFormat="1" applyFont="1" applyBorder="1" applyAlignment="1">
      <alignment horizontal="center" vertical="center" wrapText="1"/>
    </xf>
    <xf numFmtId="166" fontId="1" fillId="0" borderId="0" xfId="3" applyNumberFormat="1" applyFont="1" applyBorder="1" applyAlignment="1">
      <alignment horizontal="center" vertical="center" wrapText="1"/>
    </xf>
  </cellXfs>
  <cellStyles count="25">
    <cellStyle name="Comma" xfId="1" builtinId="3"/>
    <cellStyle name="Comma [0]" xfId="2" builtinId="6"/>
    <cellStyle name="Comma 2" xfId="3"/>
    <cellStyle name="Comma 2 2" xfId="4"/>
    <cellStyle name="Comma 3" xfId="5"/>
    <cellStyle name="Comma_BS1" xfId="6"/>
    <cellStyle name="Custom - Style8" xfId="7"/>
    <cellStyle name="Normal" xfId="0" builtinId="0"/>
    <cellStyle name="Normal 11" xfId="8"/>
    <cellStyle name="Normal 14" xfId="9"/>
    <cellStyle name="Normal 2" xfId="10"/>
    <cellStyle name="Normal 2 2" xfId="11"/>
    <cellStyle name="Normal 2 3" xfId="12"/>
    <cellStyle name="Normal 3" xfId="13"/>
    <cellStyle name="Normal 3 2" xfId="14"/>
    <cellStyle name="Normal 4" xfId="15"/>
    <cellStyle name="Normal 5" xfId="16"/>
    <cellStyle name="Normal 6" xfId="17"/>
    <cellStyle name="Normal 7" xfId="18"/>
    <cellStyle name="Normal 8" xfId="19"/>
    <cellStyle name="Normal 9" xfId="20"/>
    <cellStyle name="Normal_QuarterlyTemplate" xfId="21"/>
    <cellStyle name="Normal_Sheet4" xfId="22"/>
    <cellStyle name="Percent" xfId="23" builtinId="5"/>
    <cellStyle name="Percent 2"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yswong/Local%20Settings/Temporary%20Internet%20Files/Content.IE5/KTY7G1UN/Documents%20and%20Settings/sychan/Desktop/Quarterly%20Announcement/Announcement%202009/Audited%20console%2031122009/Console%20Workings%20Q12009%20updated%202706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X Rates (2)"/>
      <sheetName val="PL"/>
      <sheetName val="BS"/>
      <sheetName val="Equity"/>
      <sheetName val="CF"/>
      <sheetName val="MASB"/>
      <sheetName val="BSM"/>
      <sheetName val="Instruction"/>
      <sheetName val="WPL"/>
      <sheetName val="WBS "/>
      <sheetName val="WCF "/>
      <sheetName val="Adjustment"/>
      <sheetName val="Consol Adjustment"/>
      <sheetName val="FA"/>
      <sheetName val="Debtor Aging"/>
      <sheetName val="Breakdown"/>
      <sheetName val="FX Rates"/>
    </sheetNames>
    <sheetDataSet>
      <sheetData sheetId="0"/>
      <sheetData sheetId="1">
        <row r="21">
          <cell r="E2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44"/>
  <sheetViews>
    <sheetView zoomScale="75" workbookViewId="0">
      <selection activeCell="A57" sqref="A57"/>
    </sheetView>
  </sheetViews>
  <sheetFormatPr defaultRowHeight="15"/>
  <cols>
    <col min="1" max="1" width="34.7109375" customWidth="1"/>
    <col min="2" max="2" width="0.42578125" customWidth="1"/>
    <col min="3" max="3" width="15.85546875" customWidth="1"/>
    <col min="4" max="4" width="0.7109375" customWidth="1"/>
    <col min="5" max="5" width="16.28515625" customWidth="1"/>
    <col min="6" max="6" width="15" customWidth="1"/>
    <col min="7" max="7" width="0.85546875" style="166" customWidth="1"/>
    <col min="8" max="8" width="16.85546875" customWidth="1"/>
  </cols>
  <sheetData>
    <row r="1" spans="1:9" ht="20.25">
      <c r="A1" s="1" t="s">
        <v>75</v>
      </c>
      <c r="B1" s="2"/>
      <c r="C1" s="2"/>
      <c r="D1" s="3"/>
      <c r="E1" s="2"/>
      <c r="F1" s="2"/>
      <c r="G1" s="16"/>
    </row>
    <row r="2" spans="1:9">
      <c r="A2" s="2"/>
      <c r="B2" s="2"/>
      <c r="C2" s="2"/>
      <c r="D2" s="3"/>
      <c r="E2" s="2"/>
      <c r="F2" s="2"/>
      <c r="G2" s="16"/>
    </row>
    <row r="3" spans="1:9" ht="18">
      <c r="A3" s="5" t="s">
        <v>2</v>
      </c>
      <c r="B3" s="2"/>
      <c r="C3" s="2"/>
      <c r="D3" s="3"/>
      <c r="E3" s="2"/>
      <c r="F3" s="2"/>
      <c r="G3" s="16"/>
    </row>
    <row r="4" spans="1:9">
      <c r="A4" s="6" t="s">
        <v>540</v>
      </c>
      <c r="B4" s="2"/>
      <c r="C4" s="2"/>
      <c r="D4" s="3"/>
      <c r="E4" s="2"/>
      <c r="F4" s="2"/>
      <c r="G4" s="16"/>
    </row>
    <row r="5" spans="1:9">
      <c r="A5" s="2" t="s">
        <v>3</v>
      </c>
      <c r="B5" s="2"/>
      <c r="C5" s="2"/>
      <c r="D5" s="3"/>
      <c r="E5" s="2"/>
      <c r="F5" s="2"/>
      <c r="G5" s="16"/>
    </row>
    <row r="6" spans="1:9">
      <c r="A6" s="2"/>
      <c r="B6" s="2"/>
      <c r="C6" s="2"/>
      <c r="D6" s="3"/>
      <c r="E6" s="2"/>
      <c r="F6" s="2"/>
      <c r="G6" s="16"/>
    </row>
    <row r="7" spans="1:9">
      <c r="A7" s="7" t="s">
        <v>230</v>
      </c>
      <c r="B7" s="2"/>
      <c r="C7" s="2"/>
      <c r="D7" s="3"/>
      <c r="E7" s="2"/>
      <c r="F7" s="2"/>
      <c r="G7" s="16"/>
    </row>
    <row r="8" spans="1:9">
      <c r="A8" s="166"/>
      <c r="B8" s="166"/>
      <c r="C8" s="166"/>
      <c r="D8" s="166"/>
      <c r="E8" s="166"/>
      <c r="F8" s="166"/>
      <c r="H8" s="166"/>
      <c r="I8" s="166"/>
    </row>
    <row r="9" spans="1:9">
      <c r="A9" s="166"/>
      <c r="B9" s="166"/>
      <c r="C9" s="576" t="s">
        <v>224</v>
      </c>
      <c r="D9" s="576"/>
      <c r="E9" s="576"/>
      <c r="F9" s="576" t="s">
        <v>225</v>
      </c>
      <c r="G9" s="576"/>
      <c r="H9" s="576"/>
      <c r="I9" s="184"/>
    </row>
    <row r="10" spans="1:9">
      <c r="A10" s="180"/>
      <c r="B10" s="180"/>
      <c r="C10" s="181" t="s">
        <v>63</v>
      </c>
      <c r="D10" s="181"/>
      <c r="E10" s="181" t="s">
        <v>155</v>
      </c>
      <c r="F10" s="181" t="s">
        <v>63</v>
      </c>
      <c r="G10" s="181"/>
      <c r="H10" s="181" t="s">
        <v>155</v>
      </c>
      <c r="I10" s="180"/>
    </row>
    <row r="11" spans="1:9">
      <c r="A11" s="180"/>
      <c r="B11" s="180"/>
      <c r="C11" s="181" t="s">
        <v>226</v>
      </c>
      <c r="D11" s="181"/>
      <c r="E11" s="181" t="s">
        <v>156</v>
      </c>
      <c r="F11" s="181" t="s">
        <v>226</v>
      </c>
      <c r="G11" s="181"/>
      <c r="H11" s="181" t="s">
        <v>156</v>
      </c>
      <c r="I11" s="180"/>
    </row>
    <row r="12" spans="1:9">
      <c r="A12" s="180"/>
      <c r="B12" s="180"/>
      <c r="C12" s="181" t="s">
        <v>209</v>
      </c>
      <c r="D12" s="181"/>
      <c r="E12" s="181" t="s">
        <v>209</v>
      </c>
      <c r="F12" s="181" t="s">
        <v>227</v>
      </c>
      <c r="G12" s="181"/>
      <c r="H12" s="181" t="s">
        <v>228</v>
      </c>
      <c r="I12" s="180"/>
    </row>
    <row r="13" spans="1:9">
      <c r="A13" s="180"/>
      <c r="B13" s="180"/>
      <c r="C13" s="181" t="s">
        <v>387</v>
      </c>
      <c r="D13" s="181"/>
      <c r="E13" s="181" t="s">
        <v>391</v>
      </c>
      <c r="F13" s="181" t="str">
        <f>C13</f>
        <v>30.06.2010</v>
      </c>
      <c r="G13" s="181"/>
      <c r="H13" s="181" t="str">
        <f>E13</f>
        <v>30.06.2009</v>
      </c>
      <c r="I13" s="180"/>
    </row>
    <row r="14" spans="1:9">
      <c r="A14" s="180"/>
      <c r="B14" s="180"/>
      <c r="C14" s="181" t="s">
        <v>5</v>
      </c>
      <c r="D14" s="181"/>
      <c r="E14" s="181" t="s">
        <v>5</v>
      </c>
      <c r="F14" s="181" t="s">
        <v>5</v>
      </c>
      <c r="G14" s="181"/>
      <c r="H14" s="181" t="s">
        <v>5</v>
      </c>
      <c r="I14" s="180"/>
    </row>
    <row r="15" spans="1:9">
      <c r="A15" s="166"/>
      <c r="B15" s="166"/>
      <c r="C15" s="166"/>
      <c r="D15" s="166"/>
      <c r="E15" s="166"/>
      <c r="F15" s="166"/>
      <c r="H15" s="166"/>
      <c r="I15" s="166"/>
    </row>
    <row r="16" spans="1:9">
      <c r="A16" s="166" t="s">
        <v>6</v>
      </c>
      <c r="B16" s="166"/>
      <c r="C16" s="189">
        <f ca="1">IS!E17</f>
        <v>1902</v>
      </c>
      <c r="D16" s="189"/>
      <c r="E16" s="189">
        <f ca="1">IS!G17</f>
        <v>2430</v>
      </c>
      <c r="F16" s="189">
        <f ca="1">IS!I17</f>
        <v>6286</v>
      </c>
      <c r="G16" s="189"/>
      <c r="H16" s="189">
        <f ca="1">IS!K17</f>
        <v>4516</v>
      </c>
      <c r="I16" s="166"/>
    </row>
    <row r="17" spans="1:9">
      <c r="A17" s="166"/>
      <c r="B17" s="166"/>
      <c r="C17" s="189"/>
      <c r="D17" s="189"/>
      <c r="E17" s="189"/>
      <c r="F17" s="189"/>
      <c r="G17" s="189"/>
      <c r="H17" s="189"/>
      <c r="I17" s="166"/>
    </row>
    <row r="18" spans="1:9">
      <c r="A18" s="183" t="s">
        <v>243</v>
      </c>
      <c r="B18" s="166"/>
      <c r="C18" s="189">
        <f ca="1">IS!E27</f>
        <v>-563</v>
      </c>
      <c r="D18" s="189"/>
      <c r="E18" s="189">
        <f ca="1">IS!G27</f>
        <v>-550</v>
      </c>
      <c r="F18" s="189">
        <f ca="1">IS!I27</f>
        <v>-1550</v>
      </c>
      <c r="G18" s="189"/>
      <c r="H18" s="189">
        <f ca="1">IS!K27</f>
        <v>-1370</v>
      </c>
      <c r="I18" s="166"/>
    </row>
    <row r="19" spans="1:9">
      <c r="A19" s="183"/>
      <c r="B19" s="166"/>
      <c r="C19" s="189"/>
      <c r="D19" s="189"/>
      <c r="E19" s="189"/>
      <c r="F19" s="189"/>
      <c r="G19" s="189"/>
      <c r="H19" s="189"/>
      <c r="I19" s="166"/>
    </row>
    <row r="20" spans="1:9">
      <c r="A20" s="166" t="s">
        <v>8</v>
      </c>
      <c r="B20" s="166"/>
      <c r="C20" s="455" t="s">
        <v>153</v>
      </c>
      <c r="D20" s="189"/>
      <c r="E20" s="189">
        <f ca="1">IS!G29</f>
        <v>0</v>
      </c>
      <c r="F20" s="189" t="str">
        <f ca="1">C20</f>
        <v>-</v>
      </c>
      <c r="G20" s="189"/>
      <c r="H20" s="189">
        <f ca="1">IS!K29</f>
        <v>0</v>
      </c>
      <c r="I20" s="166"/>
    </row>
    <row r="21" spans="1:9">
      <c r="A21" s="166"/>
      <c r="B21" s="166"/>
      <c r="C21" s="189"/>
      <c r="D21" s="189"/>
      <c r="E21" s="189"/>
      <c r="F21" s="189"/>
      <c r="G21" s="189"/>
      <c r="H21" s="189"/>
      <c r="I21" s="166"/>
    </row>
    <row r="22" spans="1:9">
      <c r="A22" s="183" t="s">
        <v>244</v>
      </c>
      <c r="B22" s="166"/>
      <c r="C22" s="189">
        <f ca="1">IS!E30</f>
        <v>-563</v>
      </c>
      <c r="D22" s="189"/>
      <c r="E22" s="189">
        <f ca="1">IS!G30</f>
        <v>-550</v>
      </c>
      <c r="F22" s="189">
        <f ca="1">IS!I30</f>
        <v>-1550</v>
      </c>
      <c r="G22" s="189"/>
      <c r="H22" s="189">
        <f ca="1">IS!K30</f>
        <v>-1370</v>
      </c>
      <c r="I22" s="166"/>
    </row>
    <row r="23" spans="1:9">
      <c r="A23" s="182"/>
      <c r="B23" s="166"/>
      <c r="C23" s="189"/>
      <c r="D23" s="189"/>
      <c r="E23" s="189"/>
      <c r="F23" s="189"/>
      <c r="G23" s="189"/>
      <c r="H23" s="189"/>
      <c r="I23" s="166"/>
    </row>
    <row r="24" spans="1:9">
      <c r="A24" s="166" t="s">
        <v>231</v>
      </c>
      <c r="B24" s="166"/>
      <c r="C24" s="189"/>
      <c r="D24" s="190"/>
      <c r="E24" s="189"/>
      <c r="F24" s="189"/>
      <c r="G24" s="190"/>
      <c r="H24" s="189"/>
      <c r="I24" s="166"/>
    </row>
    <row r="25" spans="1:9">
      <c r="A25" s="166" t="s">
        <v>232</v>
      </c>
      <c r="B25" s="166"/>
      <c r="C25" s="189">
        <f>C22</f>
        <v>-563</v>
      </c>
      <c r="D25" s="189"/>
      <c r="E25" s="189">
        <f>E22</f>
        <v>-550</v>
      </c>
      <c r="F25" s="189">
        <f>F22</f>
        <v>-1550</v>
      </c>
      <c r="G25" s="189"/>
      <c r="H25" s="189">
        <f>H22</f>
        <v>-1370</v>
      </c>
      <c r="I25" s="166"/>
    </row>
    <row r="26" spans="1:9">
      <c r="A26" s="166"/>
      <c r="B26" s="166"/>
      <c r="C26" s="189"/>
      <c r="D26" s="189"/>
      <c r="E26" s="189"/>
      <c r="F26" s="189"/>
      <c r="G26" s="189"/>
      <c r="H26" s="189"/>
      <c r="I26" s="166"/>
    </row>
    <row r="27" spans="1:9">
      <c r="A27" s="166" t="s">
        <v>233</v>
      </c>
      <c r="B27" s="166"/>
      <c r="C27" s="188">
        <f ca="1">IS!E40</f>
        <v>-0.474881869971777</v>
      </c>
      <c r="D27" s="189"/>
      <c r="E27" s="188">
        <f ca="1">IS!G40</f>
        <v>-5.1029875672666547</v>
      </c>
      <c r="F27" s="188">
        <f ca="1">IS!I40</f>
        <v>-1.3074012405972546</v>
      </c>
      <c r="G27" s="188"/>
      <c r="H27" s="188">
        <f ca="1">IS!K40</f>
        <v>-12.711078122100576</v>
      </c>
      <c r="I27" s="166"/>
    </row>
    <row r="28" spans="1:9">
      <c r="A28" s="166"/>
      <c r="B28" s="166"/>
      <c r="C28" s="189"/>
      <c r="D28" s="189"/>
      <c r="E28" s="189"/>
      <c r="F28" s="189"/>
      <c r="G28" s="189"/>
      <c r="H28" s="189"/>
      <c r="I28" s="166"/>
    </row>
    <row r="29" spans="1:9">
      <c r="A29" s="166" t="s">
        <v>234</v>
      </c>
      <c r="B29" s="166"/>
      <c r="C29" s="189"/>
      <c r="D29" s="189"/>
      <c r="E29" s="189"/>
      <c r="F29" s="189"/>
      <c r="G29" s="189"/>
      <c r="H29" s="189"/>
      <c r="I29" s="166"/>
    </row>
    <row r="30" spans="1:9">
      <c r="A30" s="166" t="s">
        <v>235</v>
      </c>
      <c r="B30" s="166"/>
      <c r="C30" s="189" t="s">
        <v>211</v>
      </c>
      <c r="D30" s="189"/>
      <c r="E30" s="189" t="s">
        <v>211</v>
      </c>
      <c r="F30" s="189" t="s">
        <v>211</v>
      </c>
      <c r="G30" s="189"/>
      <c r="H30" s="189" t="s">
        <v>211</v>
      </c>
      <c r="I30" s="166"/>
    </row>
    <row r="31" spans="1:9">
      <c r="A31" s="166"/>
      <c r="B31" s="166"/>
      <c r="C31" s="166"/>
      <c r="D31" s="166"/>
      <c r="E31" s="166"/>
      <c r="F31" s="166"/>
      <c r="H31" s="166"/>
      <c r="I31" s="166"/>
    </row>
    <row r="32" spans="1:9">
      <c r="A32" s="166"/>
      <c r="B32" s="166"/>
      <c r="C32" s="166"/>
      <c r="D32" s="166"/>
      <c r="E32" s="166"/>
      <c r="F32" s="166"/>
      <c r="H32" s="166"/>
      <c r="I32" s="166"/>
    </row>
    <row r="33" spans="1:9">
      <c r="A33" s="166"/>
      <c r="B33" s="166"/>
      <c r="C33" s="166"/>
      <c r="D33" s="166"/>
      <c r="E33" s="166"/>
      <c r="F33" s="166"/>
      <c r="H33" s="166"/>
      <c r="I33" s="166"/>
    </row>
    <row r="34" spans="1:9">
      <c r="A34" s="90"/>
      <c r="B34" s="90"/>
      <c r="C34" s="90"/>
      <c r="D34" s="90"/>
      <c r="E34" s="90"/>
      <c r="F34" s="99" t="s">
        <v>236</v>
      </c>
      <c r="G34" s="99"/>
      <c r="H34" s="99" t="s">
        <v>237</v>
      </c>
      <c r="I34" s="90"/>
    </row>
    <row r="35" spans="1:9">
      <c r="A35" s="90"/>
      <c r="B35" s="90"/>
      <c r="C35" s="90"/>
      <c r="D35" s="90"/>
      <c r="E35" s="90"/>
      <c r="F35" s="99" t="s">
        <v>238</v>
      </c>
      <c r="G35" s="99"/>
      <c r="H35" s="99" t="s">
        <v>239</v>
      </c>
      <c r="I35" s="90"/>
    </row>
    <row r="36" spans="1:9">
      <c r="A36" s="90"/>
      <c r="B36" s="90"/>
      <c r="C36" s="90"/>
      <c r="D36" s="90"/>
      <c r="E36" s="90"/>
      <c r="F36" s="99"/>
      <c r="G36" s="99"/>
      <c r="H36" s="99" t="s">
        <v>240</v>
      </c>
      <c r="I36" s="90"/>
    </row>
    <row r="37" spans="1:9">
      <c r="A37" s="90"/>
      <c r="B37" s="90"/>
      <c r="C37" s="90"/>
      <c r="D37" s="90"/>
      <c r="E37" s="90"/>
      <c r="F37" s="99"/>
      <c r="G37" s="99"/>
      <c r="H37" s="99"/>
      <c r="I37" s="90"/>
    </row>
    <row r="38" spans="1:9">
      <c r="A38" s="166" t="s">
        <v>241</v>
      </c>
      <c r="B38" s="166"/>
      <c r="C38" s="166"/>
      <c r="D38" s="166"/>
      <c r="E38" s="166"/>
      <c r="F38" s="166"/>
      <c r="H38" s="99"/>
      <c r="I38" s="166"/>
    </row>
    <row r="39" spans="1:9">
      <c r="A39" s="166" t="s">
        <v>242</v>
      </c>
      <c r="B39" s="166"/>
      <c r="C39" s="166"/>
      <c r="D39" s="166"/>
      <c r="E39" s="166"/>
      <c r="F39" s="166"/>
      <c r="H39" s="166"/>
      <c r="I39" s="166"/>
    </row>
    <row r="40" spans="1:9">
      <c r="A40" s="166" t="s">
        <v>377</v>
      </c>
      <c r="B40" s="166"/>
      <c r="C40" s="166"/>
      <c r="D40" s="166"/>
      <c r="E40" s="166"/>
      <c r="F40" s="510">
        <f ca="1">FP!G58</f>
        <v>11.662064066034731</v>
      </c>
      <c r="G40" s="187"/>
      <c r="H40" s="511">
        <f ca="1">FP!I58</f>
        <v>13.266004824642792</v>
      </c>
      <c r="I40" s="166"/>
    </row>
    <row r="41" spans="1:9">
      <c r="A41" s="166"/>
      <c r="B41" s="166"/>
      <c r="C41" s="166"/>
      <c r="D41" s="166"/>
      <c r="E41" s="166"/>
      <c r="F41" s="186"/>
      <c r="G41" s="185"/>
      <c r="H41" s="186"/>
      <c r="I41" s="166"/>
    </row>
    <row r="42" spans="1:9">
      <c r="A42" s="166" t="s">
        <v>229</v>
      </c>
      <c r="B42" s="166"/>
      <c r="C42" s="166"/>
      <c r="D42" s="166"/>
      <c r="E42" s="166"/>
      <c r="F42" s="166"/>
      <c r="H42" s="166"/>
      <c r="I42" s="166"/>
    </row>
    <row r="43" spans="1:9">
      <c r="A43" s="182" t="s">
        <v>355</v>
      </c>
      <c r="B43" s="166"/>
      <c r="C43" s="166"/>
      <c r="D43" s="166"/>
      <c r="E43" s="166"/>
      <c r="F43" s="166"/>
      <c r="H43" s="166"/>
      <c r="I43" s="166"/>
    </row>
    <row r="44" spans="1:9">
      <c r="A44" s="166"/>
      <c r="B44" s="166"/>
      <c r="C44" s="166"/>
      <c r="D44" s="166"/>
      <c r="E44" s="166"/>
      <c r="F44" s="166"/>
      <c r="H44" s="166"/>
      <c r="I44" s="166"/>
    </row>
  </sheetData>
  <mergeCells count="2">
    <mergeCell ref="C9:E9"/>
    <mergeCell ref="F9:H9"/>
  </mergeCells>
  <phoneticPr fontId="25" type="noConversion"/>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sheetPr>
    <tabColor indexed="10"/>
    <pageSetUpPr fitToPage="1"/>
  </sheetPr>
  <dimension ref="B2:W51"/>
  <sheetViews>
    <sheetView showGridLines="0" view="pageBreakPreview" zoomScale="75" zoomScaleNormal="75" zoomScaleSheetLayoutView="75" workbookViewId="0">
      <selection activeCell="M27" sqref="M27:S28"/>
    </sheetView>
  </sheetViews>
  <sheetFormatPr defaultRowHeight="14.25"/>
  <cols>
    <col min="1" max="1" width="1.7109375" style="2" customWidth="1"/>
    <col min="2" max="2" width="2.28515625" style="2" customWidth="1"/>
    <col min="3" max="3" width="40.28515625" style="2" customWidth="1"/>
    <col min="4" max="4" width="4.42578125" style="2" customWidth="1"/>
    <col min="5" max="5" width="17.42578125" style="3" customWidth="1"/>
    <col min="6" max="6" width="3.7109375" style="2" customWidth="1"/>
    <col min="7" max="7" width="17.140625" style="4" customWidth="1"/>
    <col min="8" max="8" width="6.5703125" style="2" customWidth="1"/>
    <col min="9" max="9" width="14.7109375" style="3" customWidth="1"/>
    <col min="10" max="10" width="2.42578125" style="2" customWidth="1"/>
    <col min="11" max="11" width="18.140625" style="4" customWidth="1"/>
    <col min="12" max="12" width="9.140625" style="2"/>
    <col min="13" max="13" width="6.85546875" style="2" customWidth="1"/>
    <col min="14" max="14" width="1.5703125" style="2" customWidth="1"/>
    <col min="15" max="15" width="16.7109375" style="2" customWidth="1"/>
    <col min="16" max="16" width="1.140625" style="2" customWidth="1"/>
    <col min="17" max="17" width="16.140625" style="2" customWidth="1"/>
    <col min="18" max="18" width="1.140625" style="2" customWidth="1"/>
    <col min="19" max="19" width="15.28515625" style="2" customWidth="1"/>
    <col min="20" max="20" width="0.5703125" style="2" customWidth="1"/>
    <col min="21" max="21" width="14.85546875" style="2" customWidth="1"/>
    <col min="22" max="22" width="15.7109375" style="2" bestFit="1" customWidth="1"/>
    <col min="23" max="16384" width="9.140625" style="2"/>
  </cols>
  <sheetData>
    <row r="2" spans="2:23" ht="20.25">
      <c r="B2" s="1" t="s">
        <v>75</v>
      </c>
    </row>
    <row r="4" spans="2:23" ht="18">
      <c r="B4" s="5" t="s">
        <v>2</v>
      </c>
    </row>
    <row r="5" spans="2:23" ht="15">
      <c r="B5" s="2" t="s">
        <v>394</v>
      </c>
      <c r="K5" s="2"/>
      <c r="M5"/>
      <c r="N5"/>
      <c r="O5" s="308"/>
      <c r="P5" s="308"/>
      <c r="Q5" s="308"/>
      <c r="R5" s="308"/>
      <c r="S5" s="308"/>
      <c r="T5"/>
      <c r="U5" s="151"/>
      <c r="W5" s="4"/>
    </row>
    <row r="6" spans="2:23" ht="15">
      <c r="M6" s="151"/>
      <c r="N6"/>
      <c r="O6" s="169"/>
      <c r="P6"/>
      <c r="Q6" s="169"/>
      <c r="R6" s="169"/>
      <c r="S6" s="169"/>
      <c r="T6"/>
      <c r="U6" s="169"/>
      <c r="W6" s="4"/>
    </row>
    <row r="7" spans="2:23" ht="15">
      <c r="B7" s="7" t="s">
        <v>395</v>
      </c>
      <c r="M7"/>
      <c r="N7"/>
      <c r="O7" s="299"/>
      <c r="P7" s="299"/>
      <c r="Q7" s="299"/>
      <c r="R7" s="299"/>
      <c r="S7" s="299"/>
      <c r="T7" s="316"/>
      <c r="U7" s="317"/>
      <c r="W7" s="4"/>
    </row>
    <row r="8" spans="2:23" ht="15">
      <c r="B8" s="7"/>
      <c r="M8" s="151"/>
      <c r="N8"/>
      <c r="O8" s="169"/>
      <c r="P8"/>
      <c r="Q8" s="169"/>
      <c r="R8"/>
      <c r="S8" s="169"/>
      <c r="T8"/>
      <c r="U8" s="169"/>
      <c r="W8" s="4"/>
    </row>
    <row r="9" spans="2:23" ht="15">
      <c r="B9" s="7"/>
      <c r="E9" s="8"/>
      <c r="F9" s="9"/>
      <c r="G9" s="8"/>
      <c r="H9" s="9"/>
      <c r="I9" s="10"/>
      <c r="J9" s="9"/>
      <c r="K9" s="10"/>
      <c r="M9" s="151"/>
      <c r="N9"/>
      <c r="O9" s="169"/>
      <c r="P9"/>
      <c r="Q9" s="169"/>
      <c r="R9"/>
      <c r="S9" s="169"/>
      <c r="T9"/>
      <c r="U9" s="169"/>
      <c r="V9" s="315"/>
    </row>
    <row r="10" spans="2:23" ht="15">
      <c r="B10" s="7"/>
      <c r="E10" s="577" t="s">
        <v>396</v>
      </c>
      <c r="F10" s="577"/>
      <c r="G10" s="577"/>
      <c r="H10" s="12"/>
      <c r="I10" s="577" t="s">
        <v>398</v>
      </c>
      <c r="J10" s="577"/>
      <c r="K10" s="577"/>
      <c r="M10" s="151"/>
      <c r="N10"/>
      <c r="O10" s="169"/>
      <c r="P10"/>
      <c r="Q10" s="169"/>
      <c r="R10"/>
      <c r="S10" s="169"/>
      <c r="T10"/>
      <c r="U10" s="169"/>
    </row>
    <row r="11" spans="2:23" ht="15">
      <c r="D11" s="8"/>
      <c r="E11" s="11" t="s">
        <v>390</v>
      </c>
      <c r="F11" s="12"/>
      <c r="G11" s="76" t="s">
        <v>388</v>
      </c>
      <c r="H11" s="12"/>
      <c r="I11" s="11" t="str">
        <f>E11</f>
        <v>30 June 2010</v>
      </c>
      <c r="J11" s="12"/>
      <c r="K11" s="82" t="str">
        <f>G11</f>
        <v>30 June 2009</v>
      </c>
      <c r="M11" s="151"/>
      <c r="N11"/>
      <c r="O11" s="254"/>
      <c r="P11"/>
      <c r="Q11" s="254"/>
      <c r="R11"/>
      <c r="S11" s="254"/>
      <c r="T11"/>
      <c r="U11" s="169"/>
    </row>
    <row r="12" spans="2:23" ht="15">
      <c r="D12" s="8"/>
      <c r="E12" s="2"/>
      <c r="F12" s="12"/>
      <c r="G12" s="204" t="s">
        <v>155</v>
      </c>
      <c r="H12" s="12"/>
      <c r="I12" s="2"/>
      <c r="J12" s="12"/>
      <c r="K12" s="204" t="s">
        <v>155</v>
      </c>
      <c r="M12" s="151"/>
      <c r="N12"/>
      <c r="O12" s="254"/>
      <c r="P12"/>
      <c r="Q12" s="254"/>
      <c r="R12"/>
      <c r="S12" s="254"/>
      <c r="T12"/>
      <c r="U12" s="169"/>
    </row>
    <row r="13" spans="2:23" ht="15">
      <c r="D13" s="8"/>
      <c r="E13" s="204" t="s">
        <v>208</v>
      </c>
      <c r="F13" s="12"/>
      <c r="G13" s="204" t="s">
        <v>397</v>
      </c>
      <c r="H13" s="12"/>
      <c r="I13" s="204" t="s">
        <v>208</v>
      </c>
      <c r="J13" s="12"/>
      <c r="K13" s="204" t="s">
        <v>397</v>
      </c>
      <c r="M13" s="151"/>
      <c r="N13"/>
      <c r="O13" s="254"/>
      <c r="P13"/>
      <c r="Q13" s="254"/>
      <c r="R13"/>
      <c r="S13" s="254"/>
      <c r="T13"/>
      <c r="U13" s="169"/>
    </row>
    <row r="14" spans="2:23" ht="15">
      <c r="D14" s="8"/>
      <c r="E14" s="204" t="s">
        <v>209</v>
      </c>
      <c r="F14" s="12"/>
      <c r="G14" s="204" t="s">
        <v>209</v>
      </c>
      <c r="H14" s="12"/>
      <c r="I14" s="204" t="s">
        <v>227</v>
      </c>
      <c r="J14" s="12"/>
      <c r="K14" s="204" t="s">
        <v>228</v>
      </c>
      <c r="M14" s="151"/>
      <c r="N14"/>
    </row>
    <row r="15" spans="2:23" ht="15">
      <c r="C15" s="17"/>
      <c r="D15" s="40"/>
      <c r="E15" s="204" t="s">
        <v>5</v>
      </c>
      <c r="F15" s="40"/>
      <c r="G15" s="204" t="s">
        <v>5</v>
      </c>
      <c r="H15" s="40"/>
      <c r="I15" s="204" t="s">
        <v>5</v>
      </c>
      <c r="J15" s="40"/>
      <c r="K15" s="204" t="s">
        <v>5</v>
      </c>
      <c r="M15" s="151"/>
      <c r="N15"/>
    </row>
    <row r="16" spans="2:23" ht="15">
      <c r="C16" s="17"/>
      <c r="D16" s="40"/>
      <c r="E16" s="255"/>
      <c r="F16" s="40"/>
      <c r="G16" s="204"/>
      <c r="H16" s="40"/>
      <c r="I16" s="204"/>
      <c r="J16" s="40"/>
      <c r="K16" s="204"/>
      <c r="O16"/>
      <c r="P16"/>
      <c r="Q16" s="308"/>
      <c r="R16" s="308"/>
      <c r="S16" s="308"/>
      <c r="T16" s="308"/>
      <c r="U16" s="308"/>
    </row>
    <row r="17" spans="2:21" ht="15">
      <c r="B17" s="7" t="s">
        <v>6</v>
      </c>
      <c r="C17" s="17"/>
      <c r="D17" s="12"/>
      <c r="E17" s="283">
        <v>1902</v>
      </c>
      <c r="F17" s="514"/>
      <c r="G17" s="14">
        <v>2430</v>
      </c>
      <c r="H17" s="228"/>
      <c r="I17" s="283">
        <f>4384+1902</f>
        <v>6286</v>
      </c>
      <c r="J17" s="514"/>
      <c r="K17" s="14">
        <v>4516</v>
      </c>
      <c r="O17" s="151"/>
      <c r="P17"/>
      <c r="Q17" s="169"/>
      <c r="R17"/>
      <c r="S17" s="169"/>
      <c r="T17" s="169"/>
      <c r="U17" s="169"/>
    </row>
    <row r="18" spans="2:21" ht="15">
      <c r="B18" s="7"/>
      <c r="C18" s="17"/>
      <c r="D18" s="12"/>
      <c r="E18" s="14"/>
      <c r="F18" s="514"/>
      <c r="G18" s="14"/>
      <c r="H18" s="228"/>
      <c r="I18" s="14"/>
      <c r="J18" s="514"/>
      <c r="K18" s="14"/>
      <c r="O18"/>
      <c r="P18"/>
      <c r="Q18" s="299"/>
      <c r="R18" s="299"/>
      <c r="S18" s="299"/>
      <c r="T18" s="299"/>
      <c r="U18" s="299"/>
    </row>
    <row r="19" spans="2:21" ht="15">
      <c r="B19" s="2" t="s">
        <v>89</v>
      </c>
      <c r="C19" s="17"/>
      <c r="D19" s="12"/>
      <c r="E19" s="283">
        <v>-2192</v>
      </c>
      <c r="F19" s="514"/>
      <c r="G19" s="14">
        <v>-2671</v>
      </c>
      <c r="H19" s="228"/>
      <c r="I19" s="283">
        <f>-5141-2192</f>
        <v>-7333</v>
      </c>
      <c r="J19" s="514"/>
      <c r="K19" s="14">
        <v>-5334</v>
      </c>
      <c r="O19" s="151"/>
      <c r="P19"/>
      <c r="Q19" s="169"/>
      <c r="R19"/>
      <c r="S19" s="169"/>
      <c r="T19"/>
      <c r="U19" s="169"/>
    </row>
    <row r="20" spans="2:21" ht="15">
      <c r="B20" s="7"/>
      <c r="C20" s="17"/>
      <c r="D20" s="12"/>
      <c r="E20" s="14"/>
      <c r="F20" s="514"/>
      <c r="G20" s="14"/>
      <c r="H20" s="227"/>
      <c r="I20" s="14"/>
      <c r="J20" s="514"/>
      <c r="K20" s="14"/>
    </row>
    <row r="21" spans="2:21" ht="15">
      <c r="B21" s="2" t="s">
        <v>90</v>
      </c>
      <c r="C21" s="17"/>
      <c r="D21" s="515"/>
      <c r="E21" s="281">
        <v>22</v>
      </c>
      <c r="F21" s="515"/>
      <c r="G21" s="16">
        <v>44</v>
      </c>
      <c r="H21" s="230"/>
      <c r="I21" s="281">
        <f>34+22</f>
        <v>56</v>
      </c>
      <c r="J21" s="515"/>
      <c r="K21" s="14">
        <v>94</v>
      </c>
    </row>
    <row r="22" spans="2:21" ht="15">
      <c r="C22" s="17"/>
      <c r="D22" s="515"/>
      <c r="E22" s="16"/>
      <c r="F22" s="515"/>
      <c r="G22" s="16"/>
      <c r="H22" s="230"/>
      <c r="I22" s="16"/>
      <c r="J22" s="515"/>
      <c r="K22" s="14"/>
    </row>
    <row r="23" spans="2:21" ht="15">
      <c r="B23" s="2" t="s">
        <v>87</v>
      </c>
      <c r="C23" s="17"/>
      <c r="D23" s="515"/>
      <c r="E23" s="16">
        <v>-155</v>
      </c>
      <c r="F23" s="515"/>
      <c r="G23" s="16">
        <v>-170</v>
      </c>
      <c r="H23" s="230"/>
      <c r="I23" s="16">
        <f>-155-155</f>
        <v>-310</v>
      </c>
      <c r="J23" s="515"/>
      <c r="K23" s="14">
        <v>-349</v>
      </c>
    </row>
    <row r="24" spans="2:21" ht="15">
      <c r="C24" s="17"/>
      <c r="D24" s="515"/>
      <c r="E24" s="16"/>
      <c r="F24" s="515"/>
      <c r="G24" s="16"/>
      <c r="H24" s="230"/>
      <c r="I24" s="16"/>
      <c r="J24" s="515"/>
      <c r="K24" s="14"/>
    </row>
    <row r="25" spans="2:21" ht="15">
      <c r="B25" s="17" t="s">
        <v>7</v>
      </c>
      <c r="C25" s="17"/>
      <c r="D25" s="14"/>
      <c r="E25" s="16">
        <v>-140</v>
      </c>
      <c r="F25" s="14"/>
      <c r="G25" s="16">
        <v>-183</v>
      </c>
      <c r="H25" s="227"/>
      <c r="I25" s="16">
        <f>-109-140</f>
        <v>-249</v>
      </c>
      <c r="J25" s="14"/>
      <c r="K25" s="14">
        <v>-297</v>
      </c>
    </row>
    <row r="26" spans="2:21" ht="15">
      <c r="C26" s="17"/>
      <c r="D26" s="515"/>
      <c r="E26" s="19"/>
      <c r="F26" s="515"/>
      <c r="G26" s="19"/>
      <c r="H26" s="230"/>
      <c r="I26" s="19"/>
      <c r="J26" s="515"/>
      <c r="K26" s="19"/>
    </row>
    <row r="27" spans="2:21" ht="15">
      <c r="B27" s="7" t="s">
        <v>0</v>
      </c>
      <c r="C27" s="17"/>
      <c r="D27" s="12"/>
      <c r="E27" s="16">
        <f>SUM(E17:E25)</f>
        <v>-563</v>
      </c>
      <c r="F27" s="16"/>
      <c r="G27" s="16">
        <f>SUM(G17:G26)</f>
        <v>-550</v>
      </c>
      <c r="H27" s="229"/>
      <c r="I27" s="258">
        <f>SUM(I17:I26)</f>
        <v>-1550</v>
      </c>
      <c r="J27" s="16"/>
      <c r="K27" s="14">
        <f>SUM(K17:K26)</f>
        <v>-1370</v>
      </c>
    </row>
    <row r="28" spans="2:21" ht="15">
      <c r="B28" s="7"/>
      <c r="C28" s="17"/>
      <c r="D28" s="12"/>
      <c r="E28" s="16"/>
      <c r="F28" s="16"/>
      <c r="G28" s="16"/>
      <c r="H28" s="229"/>
      <c r="I28" s="14"/>
      <c r="J28" s="16"/>
      <c r="K28" s="14"/>
    </row>
    <row r="29" spans="2:21" ht="15">
      <c r="B29" s="2" t="s">
        <v>8</v>
      </c>
      <c r="C29" s="17"/>
      <c r="D29" s="12"/>
      <c r="E29" s="19">
        <v>0</v>
      </c>
      <c r="F29" s="14"/>
      <c r="G29" s="19">
        <v>0</v>
      </c>
      <c r="H29" s="227"/>
      <c r="I29" s="19">
        <v>0</v>
      </c>
      <c r="J29" s="14"/>
      <c r="K29" s="19">
        <v>0</v>
      </c>
    </row>
    <row r="30" spans="2:21" ht="15">
      <c r="B30" s="7" t="s">
        <v>1</v>
      </c>
      <c r="C30" s="17"/>
      <c r="D30" s="12"/>
      <c r="E30" s="258">
        <f>E27+E29</f>
        <v>-563</v>
      </c>
      <c r="F30" s="14"/>
      <c r="G30" s="258">
        <f>G27+G29</f>
        <v>-550</v>
      </c>
      <c r="H30" s="227"/>
      <c r="I30" s="258">
        <f>SUM(I27:I29)</f>
        <v>-1550</v>
      </c>
      <c r="J30" s="14"/>
      <c r="K30" s="14">
        <f>K27+K29</f>
        <v>-1370</v>
      </c>
    </row>
    <row r="31" spans="2:21" ht="15">
      <c r="B31" s="7"/>
      <c r="C31" s="17"/>
      <c r="D31" s="12"/>
      <c r="E31" s="14"/>
      <c r="F31" s="14"/>
      <c r="G31" s="14"/>
      <c r="H31" s="227"/>
      <c r="I31" s="14"/>
      <c r="J31" s="14"/>
      <c r="K31" s="14"/>
    </row>
    <row r="32" spans="2:21" ht="15">
      <c r="B32" s="7" t="s">
        <v>399</v>
      </c>
      <c r="C32" s="17"/>
      <c r="D32" s="12"/>
      <c r="E32" s="14">
        <v>0</v>
      </c>
      <c r="F32" s="14"/>
      <c r="G32" s="14">
        <v>0</v>
      </c>
      <c r="H32" s="227"/>
      <c r="I32" s="14">
        <v>0</v>
      </c>
      <c r="J32" s="14"/>
      <c r="K32" s="14">
        <v>0</v>
      </c>
    </row>
    <row r="33" spans="2:12" ht="15">
      <c r="B33" s="7"/>
      <c r="C33" s="17"/>
      <c r="D33" s="12"/>
      <c r="E33" s="14"/>
      <c r="F33" s="14"/>
      <c r="G33" s="14"/>
      <c r="H33" s="227"/>
      <c r="I33" s="14"/>
      <c r="J33" s="14"/>
      <c r="K33" s="14"/>
    </row>
    <row r="34" spans="2:12" ht="15.75" thickBot="1">
      <c r="B34" s="7" t="s">
        <v>400</v>
      </c>
      <c r="C34" s="17"/>
      <c r="D34" s="12"/>
      <c r="E34" s="20">
        <f>SUM(E30:E33)</f>
        <v>-563</v>
      </c>
      <c r="F34" s="14"/>
      <c r="G34" s="20">
        <f>SUM(G30:G33)</f>
        <v>-550</v>
      </c>
      <c r="H34" s="14"/>
      <c r="I34" s="20">
        <f>SUM(I30:I33)</f>
        <v>-1550</v>
      </c>
      <c r="J34" s="14"/>
      <c r="K34" s="20">
        <f>SUM(K30:K33)</f>
        <v>-1370</v>
      </c>
    </row>
    <row r="35" spans="2:12" ht="15.75" thickTop="1">
      <c r="C35" s="17"/>
      <c r="D35" s="12"/>
      <c r="E35" s="14"/>
      <c r="F35" s="14"/>
      <c r="G35" s="14"/>
      <c r="H35" s="227"/>
      <c r="I35" s="14"/>
      <c r="J35" s="14"/>
      <c r="K35" s="14"/>
    </row>
    <row r="36" spans="2:12" ht="6.75" hidden="1" customHeight="1">
      <c r="B36" s="7" t="s">
        <v>245</v>
      </c>
      <c r="C36" s="17"/>
      <c r="D36" s="516"/>
      <c r="E36" s="14">
        <f>11855580/100</f>
        <v>118555.8</v>
      </c>
      <c r="F36" s="515"/>
      <c r="G36" s="216">
        <v>10778</v>
      </c>
      <c r="H36" s="230"/>
      <c r="I36" s="14">
        <f>E36</f>
        <v>118555.8</v>
      </c>
      <c r="J36" s="515"/>
      <c r="K36" s="216">
        <f>G36</f>
        <v>10778</v>
      </c>
      <c r="L36" s="36"/>
    </row>
    <row r="37" spans="2:12" ht="15" hidden="1">
      <c r="B37" s="7"/>
      <c r="C37" s="17"/>
      <c r="D37" s="516"/>
      <c r="E37" s="14"/>
      <c r="F37" s="516"/>
      <c r="G37" s="216"/>
      <c r="H37" s="231"/>
      <c r="I37" s="14"/>
      <c r="J37" s="516"/>
      <c r="K37" s="216"/>
    </row>
    <row r="38" spans="2:12" ht="15" hidden="1">
      <c r="C38" s="17"/>
      <c r="D38" s="17"/>
      <c r="E38" s="16"/>
      <c r="F38" s="17"/>
      <c r="G38" s="256"/>
      <c r="H38" s="232"/>
      <c r="I38" s="16"/>
      <c r="J38" s="17"/>
      <c r="K38" s="216"/>
    </row>
    <row r="39" spans="2:12" ht="15">
      <c r="B39" s="7" t="s">
        <v>76</v>
      </c>
      <c r="C39" s="17"/>
      <c r="D39" s="40"/>
      <c r="E39" s="16"/>
      <c r="F39" s="17"/>
      <c r="G39" s="256"/>
      <c r="H39" s="232"/>
      <c r="I39" s="16"/>
      <c r="J39" s="17"/>
      <c r="K39" s="216"/>
    </row>
    <row r="40" spans="2:12" ht="15.75" thickBot="1">
      <c r="B40" s="2" t="s">
        <v>9</v>
      </c>
      <c r="C40" s="17"/>
      <c r="D40" s="17"/>
      <c r="E40" s="508">
        <f>E30/E36*100</f>
        <v>-0.474881869971777</v>
      </c>
      <c r="F40" s="533"/>
      <c r="G40" s="170">
        <f>G30/G36*100</f>
        <v>-5.1029875672666547</v>
      </c>
      <c r="H40" s="534"/>
      <c r="I40" s="170">
        <f>I30/I36*100</f>
        <v>-1.3074012405972546</v>
      </c>
      <c r="J40" s="533"/>
      <c r="K40" s="170">
        <f>K30/K36*100</f>
        <v>-12.711078122100576</v>
      </c>
    </row>
    <row r="41" spans="2:12" ht="15" thickTop="1">
      <c r="C41" s="17"/>
      <c r="D41" s="17"/>
      <c r="E41" s="216"/>
      <c r="F41" s="17"/>
      <c r="G41" s="517"/>
      <c r="H41" s="17"/>
      <c r="I41" s="14"/>
      <c r="J41" s="17"/>
      <c r="K41" s="216"/>
    </row>
    <row r="42" spans="2:12" ht="15" thickBot="1">
      <c r="B42" s="2" t="s">
        <v>401</v>
      </c>
      <c r="C42" s="17"/>
      <c r="D42" s="17"/>
      <c r="E42" s="535" t="s">
        <v>211</v>
      </c>
      <c r="F42" s="17"/>
      <c r="G42" s="535" t="s">
        <v>211</v>
      </c>
      <c r="H42" s="17"/>
      <c r="I42" s="535" t="s">
        <v>211</v>
      </c>
      <c r="J42" s="17"/>
      <c r="K42" s="535" t="s">
        <v>211</v>
      </c>
    </row>
    <row r="43" spans="2:12" ht="15" thickTop="1">
      <c r="C43" s="17"/>
      <c r="D43" s="17"/>
      <c r="E43" s="216"/>
      <c r="F43" s="17"/>
      <c r="G43" s="517"/>
      <c r="H43" s="17"/>
      <c r="I43" s="14"/>
      <c r="J43" s="17"/>
      <c r="K43" s="216"/>
    </row>
    <row r="44" spans="2:12" ht="15">
      <c r="B44" s="7" t="s">
        <v>10</v>
      </c>
      <c r="C44" s="17"/>
      <c r="D44" s="17"/>
      <c r="E44" s="216"/>
      <c r="F44" s="17"/>
      <c r="G44" s="518"/>
      <c r="H44" s="17"/>
      <c r="I44" s="14"/>
      <c r="J44" s="17"/>
      <c r="K44" s="216"/>
    </row>
    <row r="45" spans="2:12" ht="15">
      <c r="B45" s="7"/>
      <c r="C45" s="17"/>
      <c r="D45" s="17"/>
      <c r="E45" s="216"/>
      <c r="F45" s="17"/>
      <c r="G45" s="518"/>
      <c r="H45" s="17"/>
      <c r="I45" s="14"/>
      <c r="J45" s="17"/>
      <c r="K45" s="216"/>
    </row>
    <row r="46" spans="2:12">
      <c r="B46" s="578" t="s">
        <v>489</v>
      </c>
      <c r="C46" s="578"/>
      <c r="D46" s="578"/>
      <c r="E46" s="578"/>
      <c r="F46" s="578"/>
      <c r="G46" s="578"/>
      <c r="H46" s="578"/>
      <c r="I46" s="578"/>
      <c r="J46" s="578"/>
      <c r="K46" s="578"/>
    </row>
    <row r="47" spans="2:12">
      <c r="B47" s="578"/>
      <c r="C47" s="578"/>
      <c r="D47" s="578"/>
      <c r="E47" s="578"/>
      <c r="F47" s="578"/>
      <c r="G47" s="578"/>
      <c r="H47" s="578"/>
      <c r="I47" s="578"/>
      <c r="J47" s="578"/>
      <c r="K47" s="578"/>
    </row>
    <row r="48" spans="2:12">
      <c r="B48" s="578"/>
      <c r="C48" s="578"/>
      <c r="D48" s="578"/>
      <c r="E48" s="578"/>
      <c r="F48" s="578"/>
      <c r="G48" s="578"/>
      <c r="H48" s="578"/>
      <c r="I48" s="578"/>
      <c r="J48" s="578"/>
      <c r="K48" s="578"/>
    </row>
    <row r="51" ht="1.5" customHeight="1"/>
  </sheetData>
  <mergeCells count="3">
    <mergeCell ref="E10:G10"/>
    <mergeCell ref="I10:K10"/>
    <mergeCell ref="B46:K48"/>
  </mergeCells>
  <phoneticPr fontId="25" type="noConversion"/>
  <pageMargins left="0.49" right="0.25" top="0.75" bottom="0.75" header="0.5" footer="0.5"/>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10"/>
    <pageSetUpPr fitToPage="1"/>
  </sheetPr>
  <dimension ref="B1:M69"/>
  <sheetViews>
    <sheetView showGridLines="0" view="pageBreakPreview" topLeftCell="A49" zoomScale="75" zoomScaleNormal="75" zoomScaleSheetLayoutView="75" workbookViewId="0">
      <selection activeCell="L56" sqref="L56"/>
    </sheetView>
  </sheetViews>
  <sheetFormatPr defaultColWidth="9.28515625" defaultRowHeight="14.25"/>
  <cols>
    <col min="1" max="1" width="1.7109375" style="2" customWidth="1"/>
    <col min="2" max="2" width="2.5703125" style="2" customWidth="1"/>
    <col min="3" max="3" width="34" style="2" customWidth="1"/>
    <col min="4" max="4" width="13.28515625" style="2" customWidth="1"/>
    <col min="5" max="5" width="5.140625" style="9" customWidth="1"/>
    <col min="6" max="6" width="4.85546875" style="2" customWidth="1"/>
    <col min="7" max="7" width="15.140625" style="2" bestFit="1" customWidth="1"/>
    <col min="8" max="8" width="4.7109375" style="2" customWidth="1"/>
    <col min="9" max="9" width="14.28515625" style="2" customWidth="1"/>
    <col min="10" max="10" width="9.42578125" style="2" customWidth="1"/>
    <col min="11" max="16384" width="9.28515625" style="2"/>
  </cols>
  <sheetData>
    <row r="1" spans="2:13">
      <c r="M1" s="22"/>
    </row>
    <row r="3" spans="2:13" ht="15.75">
      <c r="I3" s="23"/>
      <c r="J3" s="23"/>
    </row>
    <row r="4" spans="2:13" s="7" customFormat="1" ht="15.75">
      <c r="D4" s="24"/>
      <c r="E4" s="25"/>
      <c r="I4" s="26"/>
      <c r="J4" s="26"/>
    </row>
    <row r="5" spans="2:13" s="7" customFormat="1" ht="15.75">
      <c r="D5" s="27"/>
      <c r="E5" s="28"/>
      <c r="I5" s="29"/>
      <c r="J5" s="29"/>
    </row>
    <row r="6" spans="2:13" s="7" customFormat="1" ht="15">
      <c r="E6" s="13"/>
    </row>
    <row r="7" spans="2:13" s="7" customFormat="1" ht="20.25">
      <c r="B7" s="1" t="s">
        <v>77</v>
      </c>
      <c r="E7" s="13"/>
    </row>
    <row r="8" spans="2:13" s="7" customFormat="1" ht="12.75" customHeight="1">
      <c r="B8" s="2"/>
      <c r="C8" s="2"/>
      <c r="E8" s="13"/>
    </row>
    <row r="9" spans="2:13" s="7" customFormat="1" ht="15">
      <c r="B9" s="7" t="s">
        <v>402</v>
      </c>
      <c r="E9" s="13"/>
    </row>
    <row r="10" spans="2:13" s="7" customFormat="1" ht="9.9499999999999993" customHeight="1">
      <c r="E10" s="13"/>
    </row>
    <row r="11" spans="2:13" s="7" customFormat="1" ht="14.1" customHeight="1">
      <c r="E11" s="13"/>
      <c r="G11" s="30" t="s">
        <v>11</v>
      </c>
      <c r="H11" s="30"/>
      <c r="I11" s="30" t="s">
        <v>12</v>
      </c>
    </row>
    <row r="12" spans="2:13" s="7" customFormat="1" ht="14.1" customHeight="1">
      <c r="E12" s="13"/>
      <c r="G12" s="34" t="s">
        <v>217</v>
      </c>
      <c r="H12" s="30"/>
      <c r="I12" s="30" t="s">
        <v>13</v>
      </c>
    </row>
    <row r="13" spans="2:13" s="7" customFormat="1" ht="14.1" customHeight="1">
      <c r="E13" s="13"/>
      <c r="G13" s="30" t="s">
        <v>216</v>
      </c>
      <c r="H13" s="30"/>
      <c r="I13" s="30" t="s">
        <v>14</v>
      </c>
    </row>
    <row r="14" spans="2:13" s="7" customFormat="1" ht="14.1" customHeight="1">
      <c r="E14" s="13"/>
      <c r="G14" s="30" t="s">
        <v>15</v>
      </c>
      <c r="H14" s="30"/>
      <c r="I14" s="30" t="s">
        <v>16</v>
      </c>
    </row>
    <row r="15" spans="2:13" s="7" customFormat="1" ht="14.1" customHeight="1">
      <c r="E15" s="13"/>
      <c r="G15" s="30" t="s">
        <v>403</v>
      </c>
      <c r="H15" s="30"/>
      <c r="I15" s="30" t="s">
        <v>404</v>
      </c>
    </row>
    <row r="16" spans="2:13" s="7" customFormat="1" ht="14.1" customHeight="1">
      <c r="E16" s="13"/>
      <c r="G16" s="31" t="str">
        <f ca="1">IS!I11</f>
        <v>30 June 2010</v>
      </c>
      <c r="H16" s="32"/>
      <c r="I16" s="31" t="s">
        <v>356</v>
      </c>
      <c r="J16" s="33"/>
    </row>
    <row r="17" spans="2:12" s="7" customFormat="1" ht="14.1" customHeight="1">
      <c r="E17" s="13"/>
      <c r="G17" s="34" t="s">
        <v>5</v>
      </c>
      <c r="H17" s="32"/>
      <c r="I17" s="34" t="s">
        <v>5</v>
      </c>
      <c r="J17" s="34"/>
    </row>
    <row r="18" spans="2:12" ht="15">
      <c r="B18" s="114" t="s">
        <v>146</v>
      </c>
      <c r="C18" s="114"/>
      <c r="G18" s="17"/>
    </row>
    <row r="19" spans="2:12" ht="14.45" customHeight="1">
      <c r="B19" s="2" t="s">
        <v>490</v>
      </c>
      <c r="D19" s="7"/>
      <c r="E19" s="13"/>
      <c r="G19" s="35">
        <f ca="1">(WBS!X10)/1000+1</f>
        <v>10470.217360000001</v>
      </c>
      <c r="H19" s="36"/>
      <c r="I19" s="36">
        <v>10770</v>
      </c>
      <c r="J19" s="3"/>
      <c r="L19" s="36"/>
    </row>
    <row r="20" spans="2:12" ht="14.45" customHeight="1">
      <c r="B20" s="2" t="s">
        <v>491</v>
      </c>
      <c r="D20" s="7"/>
      <c r="E20" s="13"/>
      <c r="G20" s="429">
        <f ca="1">WBS!X14/1000+0.2</f>
        <v>48.437950000000001</v>
      </c>
      <c r="H20" s="36"/>
      <c r="I20" s="81">
        <v>48</v>
      </c>
      <c r="J20" s="3"/>
      <c r="L20" s="36"/>
    </row>
    <row r="21" spans="2:12" ht="14.45" customHeight="1">
      <c r="D21" s="7"/>
      <c r="E21" s="13"/>
      <c r="G21" s="35">
        <f ca="1">SUM(G19:G20)-1</f>
        <v>10517.65531</v>
      </c>
      <c r="H21" s="35"/>
      <c r="I21" s="35">
        <f>SUM(I19:I20)</f>
        <v>10818</v>
      </c>
      <c r="J21" s="3"/>
      <c r="L21" s="36"/>
    </row>
    <row r="22" spans="2:12" ht="14.45" customHeight="1">
      <c r="B22" s="114" t="s">
        <v>115</v>
      </c>
      <c r="C22" s="114"/>
      <c r="D22" s="7"/>
      <c r="E22" s="13"/>
      <c r="G22" s="35"/>
      <c r="H22" s="36"/>
      <c r="I22" s="36"/>
      <c r="J22" s="36"/>
      <c r="L22" s="36"/>
    </row>
    <row r="23" spans="2:12" ht="12" customHeight="1">
      <c r="B23" s="2" t="s">
        <v>69</v>
      </c>
      <c r="D23" s="37"/>
      <c r="G23" s="561">
        <f ca="1">WBS!X19/1000</f>
        <v>3470.4061900000002</v>
      </c>
      <c r="H23" s="36"/>
      <c r="I23" s="562">
        <v>4205</v>
      </c>
      <c r="J23" s="38"/>
      <c r="L23" s="36"/>
    </row>
    <row r="24" spans="2:12" ht="14.45" customHeight="1">
      <c r="B24" s="2" t="s">
        <v>406</v>
      </c>
      <c r="D24" s="37"/>
      <c r="E24" s="13"/>
      <c r="G24" s="430">
        <f ca="1">WBS!X20/1000</f>
        <v>3976.50992</v>
      </c>
      <c r="H24" s="36"/>
      <c r="I24" s="78">
        <v>5557</v>
      </c>
      <c r="J24" s="38"/>
      <c r="L24" s="36"/>
    </row>
    <row r="25" spans="2:12" ht="14.45" customHeight="1">
      <c r="B25" s="2" t="s">
        <v>118</v>
      </c>
      <c r="D25" s="37"/>
      <c r="E25" s="13"/>
      <c r="G25" s="430">
        <f ca="1">WBS!X21/1000</f>
        <v>510.90863999999999</v>
      </c>
      <c r="H25" s="36"/>
      <c r="I25" s="78">
        <v>984</v>
      </c>
      <c r="J25" s="38"/>
      <c r="L25" s="36"/>
    </row>
    <row r="26" spans="2:12" ht="14.45" customHeight="1">
      <c r="B26" s="2" t="s">
        <v>407</v>
      </c>
      <c r="D26" s="37"/>
      <c r="G26" s="430">
        <f ca="1">(WBS!X22)/1000</f>
        <v>4781.3295499999986</v>
      </c>
      <c r="H26" s="36"/>
      <c r="I26" s="78">
        <v>4309</v>
      </c>
      <c r="J26" s="38"/>
      <c r="L26" s="36"/>
    </row>
    <row r="27" spans="2:12" ht="14.45" customHeight="1">
      <c r="B27" s="2" t="s">
        <v>408</v>
      </c>
      <c r="D27" s="37"/>
      <c r="G27" s="430">
        <v>0</v>
      </c>
      <c r="H27" s="36"/>
      <c r="I27" s="78">
        <v>8</v>
      </c>
      <c r="J27" s="38"/>
      <c r="L27" s="36"/>
    </row>
    <row r="28" spans="2:12" ht="14.45" customHeight="1">
      <c r="B28" s="2" t="s">
        <v>18</v>
      </c>
      <c r="D28" s="37"/>
      <c r="G28" s="430">
        <f ca="1">(WBS!X26+WBS!X27)/1000</f>
        <v>2194.5243100000002</v>
      </c>
      <c r="H28" s="36"/>
      <c r="I28" s="78">
        <v>2198</v>
      </c>
      <c r="J28" s="38"/>
      <c r="L28" s="36"/>
    </row>
    <row r="29" spans="2:12" ht="14.45" customHeight="1">
      <c r="B29" s="2" t="s">
        <v>30</v>
      </c>
      <c r="D29" s="37"/>
      <c r="G29" s="430">
        <f ca="1">WBS!X28/1000</f>
        <v>14.257569999999999</v>
      </c>
      <c r="H29" s="36"/>
      <c r="I29" s="78">
        <v>64</v>
      </c>
      <c r="J29" s="38"/>
      <c r="L29" s="36"/>
    </row>
    <row r="30" spans="2:12" ht="12" customHeight="1">
      <c r="D30" s="37"/>
      <c r="F30" s="13"/>
      <c r="G30" s="431"/>
      <c r="H30" s="36"/>
      <c r="I30" s="79"/>
      <c r="J30" s="38"/>
      <c r="L30" s="36"/>
    </row>
    <row r="31" spans="2:12" ht="15">
      <c r="B31" s="17"/>
      <c r="D31" s="17"/>
      <c r="E31" s="39"/>
      <c r="F31" s="40"/>
      <c r="G31" s="431">
        <f>SUM(G23:G30)</f>
        <v>14947.936179999999</v>
      </c>
      <c r="H31" s="36"/>
      <c r="I31" s="79">
        <f>SUM(I23:I30)</f>
        <v>17325</v>
      </c>
      <c r="J31" s="38"/>
      <c r="L31" s="36"/>
    </row>
    <row r="32" spans="2:12" ht="12" customHeight="1">
      <c r="B32" s="17"/>
      <c r="D32" s="17"/>
      <c r="E32" s="39"/>
      <c r="F32" s="40"/>
      <c r="G32" s="430"/>
      <c r="H32" s="36"/>
      <c r="I32" s="78"/>
      <c r="J32" s="38"/>
      <c r="L32" s="36"/>
    </row>
    <row r="33" spans="2:12" ht="15">
      <c r="B33" s="114" t="s">
        <v>378</v>
      </c>
      <c r="C33" s="115"/>
      <c r="D33" s="7"/>
      <c r="E33" s="13"/>
      <c r="F33" s="13"/>
      <c r="G33" s="430"/>
      <c r="H33" s="36"/>
      <c r="I33" s="78"/>
      <c r="J33" s="38"/>
      <c r="L33" s="36"/>
    </row>
    <row r="34" spans="2:12" ht="15">
      <c r="B34" s="2" t="s">
        <v>19</v>
      </c>
      <c r="D34" s="37"/>
      <c r="F34" s="13"/>
      <c r="G34" s="430">
        <f ca="1">WBS!X32/1000</f>
        <v>2190.7915499999999</v>
      </c>
      <c r="H34" s="36"/>
      <c r="I34" s="78">
        <v>3913</v>
      </c>
      <c r="J34" s="38"/>
      <c r="L34" s="36"/>
    </row>
    <row r="35" spans="2:12" ht="15">
      <c r="B35" s="2" t="s">
        <v>255</v>
      </c>
      <c r="D35" s="37"/>
      <c r="E35" s="13"/>
      <c r="F35" s="13"/>
      <c r="G35" s="430">
        <f ca="1">WBS!X33/1000</f>
        <v>920.07125999999994</v>
      </c>
      <c r="H35" s="36"/>
      <c r="I35" s="78">
        <v>656</v>
      </c>
      <c r="J35" s="38"/>
      <c r="L35" s="36"/>
    </row>
    <row r="36" spans="2:12" ht="15">
      <c r="B36" s="2" t="s">
        <v>222</v>
      </c>
      <c r="D36" s="37"/>
      <c r="E36" s="13"/>
      <c r="F36" s="13"/>
      <c r="G36" s="432">
        <f ca="1">WBS!X38/1000</f>
        <v>62.815059999999995</v>
      </c>
      <c r="H36" s="36"/>
      <c r="I36" s="211">
        <v>42</v>
      </c>
      <c r="J36" s="38"/>
      <c r="L36" s="36"/>
    </row>
    <row r="37" spans="2:12" ht="15">
      <c r="B37" s="2" t="s">
        <v>409</v>
      </c>
      <c r="D37" s="37"/>
      <c r="E37" s="13"/>
      <c r="F37" s="13"/>
      <c r="G37" s="430">
        <f ca="1">WBS!X39/1000</f>
        <v>2.5293999999999999</v>
      </c>
      <c r="H37" s="36"/>
      <c r="I37" s="78">
        <v>3</v>
      </c>
      <c r="J37" s="38"/>
      <c r="L37" s="36"/>
    </row>
    <row r="38" spans="2:12" ht="15">
      <c r="B38" s="2" t="s">
        <v>492</v>
      </c>
      <c r="D38" s="37"/>
      <c r="E38" s="13"/>
      <c r="G38" s="430">
        <f ca="1">WBS!X40/1000</f>
        <v>1419.2681800000003</v>
      </c>
      <c r="H38" s="36"/>
      <c r="I38" s="78">
        <v>1311</v>
      </c>
      <c r="J38" s="38"/>
      <c r="L38" s="36"/>
    </row>
    <row r="39" spans="2:12" ht="15">
      <c r="B39" s="2" t="s">
        <v>151</v>
      </c>
      <c r="D39" s="37"/>
      <c r="E39" s="13"/>
      <c r="G39" s="430">
        <f ca="1">(WBS!X41+WBS!X42+WBS!X43)/1000</f>
        <v>2914.2686899999999</v>
      </c>
      <c r="H39" s="36"/>
      <c r="I39" s="78">
        <v>3668</v>
      </c>
      <c r="J39" s="38"/>
      <c r="L39" s="36"/>
    </row>
    <row r="40" spans="2:12">
      <c r="B40" s="17" t="s">
        <v>65</v>
      </c>
      <c r="D40" s="17"/>
      <c r="E40" s="39"/>
      <c r="F40" s="17"/>
      <c r="G40" s="433">
        <f>SUM(G34:G39)</f>
        <v>7509.7441399999998</v>
      </c>
      <c r="H40" s="36"/>
      <c r="I40" s="80">
        <f>SUM(I34:I39)</f>
        <v>9593</v>
      </c>
      <c r="J40" s="38"/>
      <c r="L40" s="36"/>
    </row>
    <row r="41" spans="2:12" ht="12" customHeight="1">
      <c r="G41" s="35"/>
      <c r="H41" s="36"/>
      <c r="I41" s="36"/>
      <c r="J41" s="36"/>
      <c r="L41" s="36"/>
    </row>
    <row r="42" spans="2:12" ht="15">
      <c r="B42" s="7" t="s">
        <v>135</v>
      </c>
      <c r="C42" s="7"/>
      <c r="G42" s="41">
        <f>+G31-G40</f>
        <v>7438.192039999999</v>
      </c>
      <c r="H42" s="41"/>
      <c r="I42" s="41">
        <f>+I31-I40</f>
        <v>7732</v>
      </c>
      <c r="J42" s="42"/>
      <c r="L42" s="36"/>
    </row>
    <row r="43" spans="2:12" ht="12" customHeight="1">
      <c r="G43" s="43"/>
      <c r="H43" s="36"/>
      <c r="I43" s="38"/>
      <c r="J43" s="38"/>
      <c r="L43" s="36"/>
    </row>
    <row r="44" spans="2:12" ht="15">
      <c r="B44" s="114" t="s">
        <v>149</v>
      </c>
      <c r="C44" s="114"/>
      <c r="D44" s="114"/>
      <c r="G44" s="434"/>
      <c r="H44" s="36"/>
      <c r="I44" s="44"/>
      <c r="J44" s="44"/>
      <c r="L44" s="36"/>
    </row>
    <row r="45" spans="2:12">
      <c r="B45" s="2" t="s">
        <v>148</v>
      </c>
      <c r="G45" s="435">
        <f ca="1">(WBS!X49+WBS!X50)/1000</f>
        <v>4114.44301</v>
      </c>
      <c r="H45" s="36"/>
      <c r="I45" s="116">
        <v>4236.3999999999996</v>
      </c>
      <c r="J45" s="44"/>
      <c r="L45" s="36"/>
    </row>
    <row r="46" spans="2:12">
      <c r="B46" s="2" t="s">
        <v>139</v>
      </c>
      <c r="G46" s="436">
        <f ca="1">WBS!X51/1000</f>
        <v>15.218999999999999</v>
      </c>
      <c r="H46" s="36"/>
      <c r="I46" s="117">
        <v>15.4</v>
      </c>
      <c r="J46" s="44"/>
      <c r="L46" s="36"/>
    </row>
    <row r="47" spans="2:12">
      <c r="G47" s="434">
        <f>-G45-G46</f>
        <v>-4129.66201</v>
      </c>
      <c r="H47" s="36"/>
      <c r="I47" s="44">
        <f>-I45-I46</f>
        <v>-4251.7999999999993</v>
      </c>
      <c r="J47" s="44"/>
      <c r="L47" s="36"/>
    </row>
    <row r="48" spans="2:12" ht="15" thickBot="1">
      <c r="G48" s="437">
        <f>G21+G42+G47</f>
        <v>13826.18534</v>
      </c>
      <c r="H48" s="36"/>
      <c r="I48" s="118">
        <f>+I21+I42+I47</f>
        <v>14298.2</v>
      </c>
      <c r="J48" s="44"/>
      <c r="L48" s="36"/>
    </row>
    <row r="49" spans="2:12" ht="12" customHeight="1">
      <c r="G49" s="35"/>
      <c r="H49" s="36"/>
      <c r="I49" s="36"/>
      <c r="J49" s="36"/>
      <c r="L49" s="36"/>
    </row>
    <row r="50" spans="2:12" ht="15">
      <c r="B50" s="7" t="s">
        <v>20</v>
      </c>
      <c r="D50" s="7"/>
      <c r="E50" s="13"/>
      <c r="G50" s="35"/>
      <c r="H50" s="36"/>
      <c r="I50" s="36"/>
      <c r="J50" s="36"/>
      <c r="L50" s="36"/>
    </row>
    <row r="51" spans="2:12" ht="15">
      <c r="B51" s="7" t="s">
        <v>379</v>
      </c>
      <c r="D51" s="7"/>
      <c r="E51" s="13"/>
      <c r="G51" s="35"/>
      <c r="H51" s="36"/>
      <c r="I51" s="36"/>
      <c r="J51" s="36"/>
      <c r="L51" s="36"/>
    </row>
    <row r="52" spans="2:12">
      <c r="B52" s="2" t="s">
        <v>21</v>
      </c>
      <c r="D52" s="37"/>
      <c r="G52" s="438">
        <f ca="1">WBS!X56/1000</f>
        <v>11855.58</v>
      </c>
      <c r="H52" s="36"/>
      <c r="I52" s="36">
        <v>10778</v>
      </c>
      <c r="J52" s="36"/>
      <c r="L52" s="36"/>
    </row>
    <row r="53" spans="2:12">
      <c r="B53" s="2" t="s">
        <v>142</v>
      </c>
      <c r="D53" s="37"/>
      <c r="G53" s="43">
        <f ca="1">WBS!X58/1000</f>
        <v>8186.9867899999999</v>
      </c>
      <c r="H53" s="38"/>
      <c r="I53" s="38">
        <v>8187</v>
      </c>
      <c r="J53" s="15"/>
      <c r="L53" s="36"/>
    </row>
    <row r="54" spans="2:12">
      <c r="B54" s="2" t="s">
        <v>493</v>
      </c>
      <c r="D54" s="37"/>
      <c r="G54" s="43">
        <v>2554</v>
      </c>
      <c r="H54" s="38"/>
      <c r="I54" s="38">
        <v>2554</v>
      </c>
      <c r="J54" s="15"/>
      <c r="L54" s="36"/>
    </row>
    <row r="55" spans="2:12">
      <c r="B55" s="2" t="s">
        <v>536</v>
      </c>
      <c r="G55" s="439">
        <f ca="1">SUM(WBS!X59:X60)/1000</f>
        <v>-8770.5134399999988</v>
      </c>
      <c r="I55" s="38">
        <v>-7220.9</v>
      </c>
      <c r="K55" s="210"/>
      <c r="L55" s="36"/>
    </row>
    <row r="56" spans="2:12" ht="15.75" thickBot="1">
      <c r="B56" s="7" t="s">
        <v>144</v>
      </c>
      <c r="G56" s="119">
        <f>SUM(G52:G55)</f>
        <v>13826.053350000002</v>
      </c>
      <c r="H56" s="43"/>
      <c r="I56" s="119">
        <f>SUM(I52:I55)</f>
        <v>14298.1</v>
      </c>
      <c r="J56" s="43"/>
    </row>
    <row r="57" spans="2:12">
      <c r="G57" s="43"/>
      <c r="H57" s="36"/>
      <c r="I57" s="38"/>
      <c r="J57" s="36"/>
    </row>
    <row r="58" spans="2:12" ht="15" thickBot="1">
      <c r="B58" s="2" t="s">
        <v>150</v>
      </c>
      <c r="G58" s="509">
        <f>(G56/G52)*10</f>
        <v>11.662064066034731</v>
      </c>
      <c r="H58" s="550"/>
      <c r="I58" s="509">
        <f>(I56/I52)*10</f>
        <v>13.266004824642792</v>
      </c>
      <c r="J58" s="45"/>
    </row>
    <row r="59" spans="2:12" ht="12" customHeight="1" thickTop="1">
      <c r="G59" s="46"/>
      <c r="H59" s="47"/>
      <c r="I59" s="46"/>
    </row>
    <row r="60" spans="2:12" ht="12" customHeight="1">
      <c r="G60" s="48"/>
      <c r="I60" s="48"/>
    </row>
    <row r="61" spans="2:12" ht="14.45" customHeight="1">
      <c r="B61" s="7" t="s">
        <v>22</v>
      </c>
      <c r="E61" s="49"/>
    </row>
    <row r="62" spans="2:12" ht="15" customHeight="1">
      <c r="B62" s="579" t="s">
        <v>410</v>
      </c>
      <c r="C62" s="579"/>
      <c r="D62" s="579"/>
      <c r="E62" s="579"/>
      <c r="F62" s="579"/>
      <c r="G62" s="579"/>
      <c r="H62" s="579"/>
      <c r="I62" s="579"/>
      <c r="J62" s="579"/>
    </row>
    <row r="63" spans="2:12">
      <c r="B63" s="579"/>
      <c r="C63" s="579"/>
      <c r="D63" s="579"/>
      <c r="E63" s="579"/>
      <c r="F63" s="579"/>
      <c r="G63" s="579"/>
      <c r="H63" s="579"/>
      <c r="I63" s="579"/>
      <c r="J63" s="579"/>
    </row>
    <row r="64" spans="2:12">
      <c r="B64" s="579"/>
      <c r="C64" s="579"/>
      <c r="D64" s="579"/>
      <c r="E64" s="579"/>
      <c r="F64" s="579"/>
      <c r="G64" s="579"/>
      <c r="H64" s="579"/>
      <c r="I64" s="579"/>
      <c r="J64" s="579"/>
    </row>
    <row r="65" spans="3:10">
      <c r="C65" s="579"/>
      <c r="D65" s="579"/>
      <c r="E65" s="579"/>
      <c r="F65" s="579"/>
      <c r="G65" s="579"/>
      <c r="H65" s="579"/>
      <c r="I65" s="579"/>
      <c r="J65" s="579"/>
    </row>
    <row r="66" spans="3:10">
      <c r="C66" s="579"/>
      <c r="D66" s="579"/>
      <c r="E66" s="579"/>
      <c r="F66" s="579"/>
      <c r="G66" s="579"/>
      <c r="H66" s="579"/>
      <c r="I66" s="579"/>
      <c r="J66" s="579"/>
    </row>
    <row r="67" spans="3:10">
      <c r="C67" s="579"/>
      <c r="D67" s="579"/>
      <c r="E67" s="579"/>
      <c r="F67" s="579"/>
      <c r="G67" s="579"/>
      <c r="H67" s="579"/>
      <c r="I67" s="579"/>
      <c r="J67" s="579"/>
    </row>
    <row r="68" spans="3:10">
      <c r="G68" s="36"/>
      <c r="H68" s="36"/>
      <c r="I68" s="36"/>
    </row>
    <row r="69" spans="3:10" ht="15">
      <c r="G69" s="83"/>
      <c r="H69" s="36"/>
      <c r="I69" s="36"/>
    </row>
  </sheetData>
  <mergeCells count="2">
    <mergeCell ref="C65:J67"/>
    <mergeCell ref="B62:J64"/>
  </mergeCells>
  <phoneticPr fontId="25" type="noConversion"/>
  <pageMargins left="0.91" right="0.75" top="0.75" bottom="0.18" header="0.5" footer="0.17"/>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indexed="10"/>
    <pageSetUpPr fitToPage="1"/>
  </sheetPr>
  <dimension ref="B2:K43"/>
  <sheetViews>
    <sheetView showGridLines="0" view="pageBreakPreview" topLeftCell="A22" zoomScale="75" zoomScaleNormal="75" zoomScaleSheetLayoutView="100" workbookViewId="0">
      <selection activeCell="B55" sqref="B55"/>
    </sheetView>
  </sheetViews>
  <sheetFormatPr defaultColWidth="8.85546875" defaultRowHeight="14.25"/>
  <cols>
    <col min="1" max="1" width="1.7109375" style="3" customWidth="1"/>
    <col min="2" max="2" width="2" style="3" customWidth="1"/>
    <col min="3" max="3" width="30.140625" style="3" customWidth="1"/>
    <col min="4" max="4" width="3.5703125" style="3" customWidth="1"/>
    <col min="5" max="5" width="7.7109375" style="3" customWidth="1"/>
    <col min="6" max="6" width="13.140625" style="3" customWidth="1"/>
    <col min="7" max="7" width="17.28515625" style="3" customWidth="1"/>
    <col min="8" max="8" width="19" style="3" customWidth="1"/>
    <col min="9" max="9" width="18.28515625" style="3" customWidth="1"/>
    <col min="10" max="10" width="20.42578125" style="4" customWidth="1"/>
    <col min="11" max="11" width="10.42578125" style="3" customWidth="1"/>
    <col min="12" max="16384" width="8.85546875" style="3"/>
  </cols>
  <sheetData>
    <row r="2" spans="2:11" ht="15">
      <c r="J2" s="10"/>
    </row>
    <row r="3" spans="2:11" ht="15">
      <c r="J3" s="10"/>
    </row>
    <row r="4" spans="2:11" ht="15.75">
      <c r="D4" s="50"/>
      <c r="E4" s="50"/>
      <c r="J4" s="34"/>
    </row>
    <row r="5" spans="2:11" ht="15.75">
      <c r="C5" s="50"/>
      <c r="D5" s="50"/>
      <c r="E5" s="50"/>
    </row>
    <row r="6" spans="2:11" ht="15.75">
      <c r="C6" s="50"/>
      <c r="D6" s="50"/>
      <c r="E6" s="50"/>
    </row>
    <row r="7" spans="2:11" ht="20.25">
      <c r="B7" s="1" t="s">
        <v>77</v>
      </c>
      <c r="D7" s="50"/>
      <c r="E7" s="50"/>
    </row>
    <row r="8" spans="2:11" ht="15.75">
      <c r="B8" s="2"/>
      <c r="C8" s="2"/>
      <c r="D8" s="7"/>
      <c r="E8" s="50"/>
    </row>
    <row r="9" spans="2:11" ht="15.75">
      <c r="B9" s="56" t="s">
        <v>411</v>
      </c>
      <c r="D9" s="50"/>
      <c r="E9" s="50"/>
    </row>
    <row r="11" spans="2:11" ht="15">
      <c r="B11" s="18"/>
      <c r="D11" s="18"/>
      <c r="E11" s="18"/>
      <c r="F11" s="21"/>
      <c r="G11" s="580" t="s">
        <v>494</v>
      </c>
      <c r="H11" s="580"/>
      <c r="I11" s="51" t="s">
        <v>23</v>
      </c>
      <c r="J11" s="21"/>
      <c r="K11" s="18"/>
    </row>
    <row r="12" spans="2:11" ht="15">
      <c r="B12" s="18"/>
      <c r="D12" s="18"/>
      <c r="E12" s="13"/>
      <c r="F12" s="51" t="s">
        <v>24</v>
      </c>
      <c r="G12" s="51" t="s">
        <v>24</v>
      </c>
      <c r="H12" s="51" t="s">
        <v>152</v>
      </c>
      <c r="I12" s="51" t="s">
        <v>412</v>
      </c>
      <c r="J12" s="21"/>
      <c r="K12" s="18"/>
    </row>
    <row r="13" spans="2:11" ht="15">
      <c r="B13" s="53" t="s">
        <v>25</v>
      </c>
      <c r="D13" s="53"/>
      <c r="E13" s="53"/>
      <c r="F13" s="51" t="s">
        <v>26</v>
      </c>
      <c r="G13" s="51" t="s">
        <v>27</v>
      </c>
      <c r="H13" s="51" t="s">
        <v>277</v>
      </c>
      <c r="I13" s="51" t="s">
        <v>154</v>
      </c>
      <c r="J13" s="51" t="s">
        <v>28</v>
      </c>
      <c r="K13" s="18"/>
    </row>
    <row r="14" spans="2:11" ht="15">
      <c r="B14" s="53"/>
      <c r="D14" s="53"/>
      <c r="E14" s="53"/>
      <c r="F14" s="51"/>
      <c r="G14" s="51"/>
      <c r="H14" s="51"/>
      <c r="I14" s="51"/>
      <c r="J14" s="51"/>
      <c r="K14" s="18"/>
    </row>
    <row r="15" spans="2:11" ht="15">
      <c r="B15" s="18"/>
      <c r="D15" s="18"/>
      <c r="E15" s="13" t="s">
        <v>4</v>
      </c>
      <c r="F15" s="51" t="s">
        <v>5</v>
      </c>
      <c r="G15" s="51" t="s">
        <v>5</v>
      </c>
      <c r="H15" s="51" t="s">
        <v>5</v>
      </c>
      <c r="I15" s="51" t="s">
        <v>5</v>
      </c>
      <c r="J15" s="51" t="s">
        <v>5</v>
      </c>
      <c r="K15" s="18"/>
    </row>
    <row r="16" spans="2:11" ht="15">
      <c r="B16" s="18"/>
      <c r="D16" s="18"/>
      <c r="E16" s="13"/>
      <c r="F16" s="51"/>
      <c r="G16" s="51"/>
      <c r="H16" s="51"/>
      <c r="I16" s="51"/>
      <c r="J16" s="51"/>
      <c r="K16" s="18"/>
    </row>
    <row r="17" spans="2:11" ht="15">
      <c r="B17" s="53" t="s">
        <v>218</v>
      </c>
      <c r="D17" s="18"/>
      <c r="E17" s="18"/>
      <c r="F17" s="51"/>
      <c r="G17" s="51"/>
      <c r="H17" s="51"/>
      <c r="I17" s="51"/>
      <c r="J17" s="51"/>
      <c r="K17" s="18"/>
    </row>
    <row r="18" spans="2:11" ht="15">
      <c r="B18" s="53" t="s">
        <v>296</v>
      </c>
      <c r="D18" s="18"/>
      <c r="E18" s="18"/>
      <c r="F18" s="18">
        <v>10778</v>
      </c>
      <c r="G18" s="18">
        <v>8187</v>
      </c>
      <c r="H18" s="52" t="s">
        <v>279</v>
      </c>
      <c r="I18" s="18">
        <f>-3603403/1000</f>
        <v>-3603.4029999999998</v>
      </c>
      <c r="J18" s="21">
        <f>SUM(F18:I18)</f>
        <v>15361.597</v>
      </c>
      <c r="K18" s="18"/>
    </row>
    <row r="19" spans="2:11" ht="15">
      <c r="B19" s="53"/>
      <c r="D19" s="18"/>
      <c r="E19" s="18"/>
      <c r="F19" s="18"/>
      <c r="G19" s="18"/>
      <c r="H19" s="161"/>
      <c r="I19" s="18"/>
      <c r="J19" s="21"/>
      <c r="K19" s="18"/>
    </row>
    <row r="20" spans="2:11">
      <c r="B20" s="3" t="s">
        <v>413</v>
      </c>
      <c r="F20" s="3">
        <v>0</v>
      </c>
      <c r="G20" s="3">
        <v>0</v>
      </c>
      <c r="H20" s="162">
        <v>2554</v>
      </c>
      <c r="I20" s="3">
        <v>0</v>
      </c>
      <c r="J20" s="21">
        <f>SUM(F20:I20)</f>
        <v>2554</v>
      </c>
      <c r="K20" s="18"/>
    </row>
    <row r="21" spans="2:11">
      <c r="H21" s="162"/>
      <c r="K21" s="18"/>
    </row>
    <row r="22" spans="2:11">
      <c r="B22" s="16" t="s">
        <v>414</v>
      </c>
      <c r="D22" s="16"/>
      <c r="E22" s="16"/>
      <c r="F22" s="16">
        <v>0</v>
      </c>
      <c r="G22" s="16">
        <v>0</v>
      </c>
      <c r="H22" s="163">
        <v>0</v>
      </c>
      <c r="I22" s="16">
        <f>-3617375/1000</f>
        <v>-3617.375</v>
      </c>
      <c r="J22" s="21">
        <f>SUM(F22:I22)</f>
        <v>-3617.375</v>
      </c>
      <c r="K22" s="18"/>
    </row>
    <row r="23" spans="2:11">
      <c r="B23" s="16"/>
      <c r="D23" s="16"/>
      <c r="E23" s="16"/>
      <c r="F23" s="16"/>
      <c r="G23" s="16"/>
      <c r="H23" s="163"/>
      <c r="I23" s="16"/>
      <c r="J23" s="216"/>
      <c r="K23" s="18"/>
    </row>
    <row r="24" spans="2:11" ht="15.75" thickBot="1">
      <c r="B24" s="77" t="s">
        <v>257</v>
      </c>
      <c r="D24" s="16"/>
      <c r="E24" s="16"/>
      <c r="F24" s="20">
        <f>SUM(F18:F23)</f>
        <v>10778</v>
      </c>
      <c r="G24" s="20">
        <f>SUM(G18:G23)</f>
        <v>8187</v>
      </c>
      <c r="H24" s="164">
        <f>SUM(H18:H23)</f>
        <v>2554</v>
      </c>
      <c r="I24" s="20">
        <f>SUM(I18:I23)</f>
        <v>-7220.7780000000002</v>
      </c>
      <c r="J24" s="217">
        <f>SUM(J18:J23)</f>
        <v>14298.222000000002</v>
      </c>
      <c r="K24" s="18"/>
    </row>
    <row r="25" spans="2:11" ht="15.75" thickTop="1">
      <c r="B25" s="18"/>
      <c r="D25" s="18"/>
      <c r="E25" s="18"/>
      <c r="F25" s="51"/>
      <c r="G25" s="51"/>
      <c r="H25" s="51"/>
      <c r="I25" s="51"/>
      <c r="J25" s="51"/>
      <c r="K25" s="18"/>
    </row>
    <row r="26" spans="2:11" ht="15">
      <c r="B26" s="18"/>
      <c r="D26" s="18"/>
      <c r="E26" s="18"/>
      <c r="F26" s="51"/>
      <c r="G26" s="51"/>
      <c r="H26" s="51"/>
      <c r="I26" s="51"/>
      <c r="J26" s="51"/>
      <c r="K26" s="18"/>
    </row>
    <row r="27" spans="2:11" ht="15">
      <c r="B27" s="370" t="s">
        <v>219</v>
      </c>
      <c r="C27" s="16"/>
      <c r="D27" s="14"/>
      <c r="E27" s="14"/>
      <c r="F27" s="371"/>
      <c r="G27" s="371"/>
      <c r="H27" s="371"/>
      <c r="I27" s="371"/>
      <c r="J27" s="371"/>
      <c r="K27" s="18"/>
    </row>
    <row r="28" spans="2:11" ht="15">
      <c r="B28" s="370" t="s">
        <v>297</v>
      </c>
      <c r="C28" s="16"/>
      <c r="D28" s="14"/>
      <c r="E28" s="14"/>
      <c r="F28" s="14">
        <f>F24</f>
        <v>10778</v>
      </c>
      <c r="G28" s="14">
        <f>G24</f>
        <v>8187</v>
      </c>
      <c r="H28" s="14">
        <f>H24</f>
        <v>2554</v>
      </c>
      <c r="I28" s="14">
        <f>I24</f>
        <v>-7220.7780000000002</v>
      </c>
      <c r="J28" s="216">
        <f>J24</f>
        <v>14298.222000000002</v>
      </c>
      <c r="K28" s="18"/>
    </row>
    <row r="29" spans="2:11" ht="15">
      <c r="B29" s="370"/>
      <c r="C29" s="16"/>
      <c r="D29" s="14"/>
      <c r="E29" s="14"/>
      <c r="F29" s="14"/>
      <c r="G29" s="14"/>
      <c r="H29" s="14"/>
      <c r="I29" s="14"/>
      <c r="J29" s="216"/>
      <c r="K29" s="18"/>
    </row>
    <row r="30" spans="2:11">
      <c r="B30" s="14" t="s">
        <v>415</v>
      </c>
      <c r="C30" s="16"/>
      <c r="D30" s="14"/>
      <c r="E30" s="14"/>
      <c r="F30" s="14">
        <f>11856-F28</f>
        <v>1078</v>
      </c>
      <c r="G30" s="14">
        <v>0</v>
      </c>
      <c r="H30" s="14">
        <v>0</v>
      </c>
      <c r="I30" s="14">
        <v>0</v>
      </c>
      <c r="J30" s="216">
        <f>SUM(F30:I30)</f>
        <v>1078</v>
      </c>
      <c r="K30" s="18"/>
    </row>
    <row r="31" spans="2:11">
      <c r="B31" s="16"/>
      <c r="C31" s="16"/>
      <c r="D31" s="16"/>
      <c r="E31" s="16"/>
      <c r="F31" s="16"/>
      <c r="G31" s="16"/>
      <c r="H31" s="16"/>
      <c r="I31" s="16"/>
      <c r="J31" s="216"/>
    </row>
    <row r="32" spans="2:11" s="16" customFormat="1">
      <c r="B32" s="16" t="s">
        <v>400</v>
      </c>
      <c r="F32" s="16">
        <v>0</v>
      </c>
      <c r="G32" s="16">
        <v>0</v>
      </c>
      <c r="H32" s="16">
        <v>0</v>
      </c>
      <c r="I32" s="16">
        <f ca="1">IS!I30</f>
        <v>-1550</v>
      </c>
      <c r="J32" s="216">
        <f>SUM(F32:I32)</f>
        <v>-1550</v>
      </c>
    </row>
    <row r="33" spans="2:10">
      <c r="B33" s="16"/>
      <c r="C33" s="16"/>
      <c r="D33" s="16"/>
      <c r="E33" s="16"/>
      <c r="F33" s="16"/>
      <c r="G33" s="16"/>
      <c r="H33" s="16"/>
      <c r="I33" s="16"/>
      <c r="J33" s="256"/>
    </row>
    <row r="34" spans="2:10" ht="15.75" thickBot="1">
      <c r="B34" s="77" t="s">
        <v>389</v>
      </c>
      <c r="C34" s="16"/>
      <c r="D34" s="16"/>
      <c r="E34" s="16"/>
      <c r="F34" s="20">
        <f>SUM(F28:F32)</f>
        <v>11856</v>
      </c>
      <c r="G34" s="20">
        <f>SUM(G28:G33)</f>
        <v>8187</v>
      </c>
      <c r="H34" s="20">
        <f>SUM(H28:H33)</f>
        <v>2554</v>
      </c>
      <c r="I34" s="20">
        <f>SUM(I28:I33)</f>
        <v>-8770.7780000000002</v>
      </c>
      <c r="J34" s="217">
        <f>SUM(J28:J33)</f>
        <v>13826.222000000002</v>
      </c>
    </row>
    <row r="35" spans="2:10" ht="15" thickTop="1">
      <c r="B35" s="16"/>
      <c r="C35" s="16"/>
      <c r="D35" s="16"/>
      <c r="E35" s="16"/>
      <c r="F35" s="14"/>
      <c r="G35" s="14"/>
      <c r="H35" s="14"/>
      <c r="I35" s="14"/>
      <c r="J35" s="216"/>
    </row>
    <row r="36" spans="2:10">
      <c r="F36" s="18"/>
      <c r="G36" s="18"/>
      <c r="H36" s="18"/>
      <c r="I36" s="18"/>
      <c r="J36" s="21"/>
    </row>
    <row r="37" spans="2:10" ht="15">
      <c r="B37" s="7" t="s">
        <v>22</v>
      </c>
      <c r="D37" s="54"/>
      <c r="E37" s="54"/>
    </row>
    <row r="38" spans="2:10" ht="15" customHeight="1">
      <c r="B38" s="2" t="s">
        <v>495</v>
      </c>
      <c r="C38" s="536"/>
      <c r="D38" s="536"/>
      <c r="E38" s="536"/>
      <c r="F38" s="536"/>
      <c r="G38" s="536"/>
      <c r="H38" s="536"/>
      <c r="I38" s="536"/>
      <c r="J38" s="536"/>
    </row>
    <row r="39" spans="2:10" ht="15" customHeight="1">
      <c r="B39" s="2" t="s">
        <v>416</v>
      </c>
      <c r="C39" s="536"/>
      <c r="D39" s="536"/>
      <c r="E39" s="536"/>
      <c r="F39" s="536"/>
      <c r="G39" s="536"/>
      <c r="H39" s="536"/>
      <c r="I39" s="536"/>
      <c r="J39" s="536"/>
    </row>
    <row r="40" spans="2:10">
      <c r="B40" s="57" t="s">
        <v>65</v>
      </c>
      <c r="C40" s="536"/>
      <c r="D40" s="536"/>
      <c r="E40" s="536"/>
      <c r="F40" s="536"/>
      <c r="G40" s="536"/>
      <c r="H40" s="536"/>
      <c r="I40" s="536"/>
      <c r="J40" s="536"/>
    </row>
    <row r="41" spans="2:10">
      <c r="B41" s="581"/>
      <c r="C41" s="581"/>
      <c r="D41" s="581"/>
      <c r="E41" s="581"/>
      <c r="F41" s="581"/>
      <c r="G41" s="581"/>
      <c r="H41" s="581"/>
      <c r="I41" s="581"/>
      <c r="J41" s="581"/>
    </row>
    <row r="42" spans="2:10">
      <c r="B42" s="581"/>
      <c r="C42" s="581"/>
      <c r="D42" s="581"/>
      <c r="E42" s="581"/>
      <c r="F42" s="581"/>
      <c r="G42" s="581"/>
      <c r="H42" s="581"/>
      <c r="I42" s="581"/>
      <c r="J42" s="581"/>
    </row>
    <row r="43" spans="2:10">
      <c r="B43" s="581"/>
      <c r="C43" s="581"/>
      <c r="D43" s="581"/>
      <c r="E43" s="581"/>
      <c r="F43" s="581"/>
      <c r="G43" s="581"/>
      <c r="H43" s="581"/>
      <c r="I43" s="581"/>
      <c r="J43" s="581"/>
    </row>
  </sheetData>
  <mergeCells count="2">
    <mergeCell ref="G11:H11"/>
    <mergeCell ref="B41:J43"/>
  </mergeCells>
  <phoneticPr fontId="25" type="noConversion"/>
  <pageMargins left="0.56999999999999995" right="0.27" top="0.75" bottom="0.75"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indexed="10"/>
    <pageSetUpPr fitToPage="1"/>
  </sheetPr>
  <dimension ref="A1:J62"/>
  <sheetViews>
    <sheetView view="pageBreakPreview" topLeftCell="D51" zoomScaleNormal="75" zoomScaleSheetLayoutView="100" workbookViewId="0">
      <selection activeCell="L58" sqref="L58"/>
    </sheetView>
  </sheetViews>
  <sheetFormatPr defaultRowHeight="15"/>
  <cols>
    <col min="1" max="1" width="1.42578125" customWidth="1"/>
    <col min="2" max="2" width="4.5703125" customWidth="1"/>
    <col min="3" max="3" width="63.28515625" customWidth="1"/>
    <col min="4" max="4" width="0.85546875" customWidth="1"/>
    <col min="5" max="5" width="18.140625" style="193" customWidth="1"/>
    <col min="6" max="6" width="0.85546875" style="543" customWidth="1"/>
    <col min="7" max="7" width="18.28515625" style="521" customWidth="1"/>
    <col min="8" max="8" width="18.7109375" customWidth="1"/>
  </cols>
  <sheetData>
    <row r="1" spans="1:10" ht="15.75">
      <c r="A1" s="582"/>
      <c r="B1" s="582"/>
      <c r="C1" s="582"/>
      <c r="D1" s="582"/>
      <c r="E1" s="582"/>
      <c r="F1" s="582"/>
      <c r="G1" s="582"/>
    </row>
    <row r="2" spans="1:10">
      <c r="A2" s="583"/>
      <c r="B2" s="583"/>
      <c r="C2" s="583"/>
      <c r="D2" s="583"/>
      <c r="E2" s="583"/>
      <c r="F2" s="583"/>
      <c r="G2" s="583"/>
    </row>
    <row r="3" spans="1:10">
      <c r="A3" s="584"/>
      <c r="B3" s="584"/>
      <c r="C3" s="584"/>
      <c r="D3" s="584"/>
      <c r="E3" s="584"/>
      <c r="F3" s="584"/>
      <c r="G3" s="584"/>
    </row>
    <row r="4" spans="1:10">
      <c r="A4" s="585"/>
      <c r="B4" s="585"/>
      <c r="C4" s="585"/>
      <c r="D4" s="585"/>
      <c r="E4" s="585"/>
      <c r="F4" s="585"/>
      <c r="G4" s="585"/>
    </row>
    <row r="5" spans="1:10" ht="20.25">
      <c r="A5" s="120"/>
      <c r="B5" s="1" t="s">
        <v>77</v>
      </c>
      <c r="C5" s="3"/>
      <c r="D5" s="50"/>
      <c r="E5" s="233"/>
      <c r="F5" s="537"/>
      <c r="G5" s="519"/>
    </row>
    <row r="6" spans="1:10" ht="15.75">
      <c r="A6" s="120"/>
      <c r="B6" s="2"/>
      <c r="C6" s="2"/>
      <c r="D6" s="7"/>
      <c r="E6" s="233"/>
      <c r="F6" s="537"/>
      <c r="G6" s="519"/>
    </row>
    <row r="7" spans="1:10" s="212" customFormat="1">
      <c r="A7" s="123"/>
      <c r="B7" s="122" t="s">
        <v>417</v>
      </c>
      <c r="C7" s="122"/>
      <c r="D7" s="122"/>
      <c r="E7" s="234"/>
      <c r="F7" s="538"/>
      <c r="G7" s="235"/>
      <c r="H7" s="122"/>
      <c r="I7" s="16"/>
    </row>
    <row r="8" spans="1:10">
      <c r="A8" s="95"/>
      <c r="B8" s="152"/>
      <c r="C8" s="152"/>
      <c r="D8" s="152"/>
      <c r="E8" s="236"/>
      <c r="F8" s="539"/>
      <c r="G8" s="236"/>
      <c r="H8" s="153"/>
      <c r="I8" s="153"/>
      <c r="J8" s="153"/>
    </row>
    <row r="9" spans="1:10">
      <c r="A9" s="89"/>
      <c r="B9" s="154"/>
      <c r="C9" s="154"/>
      <c r="D9" s="154"/>
      <c r="E9" s="280" t="s">
        <v>64</v>
      </c>
      <c r="F9" s="540"/>
      <c r="G9" s="280" t="s">
        <v>155</v>
      </c>
      <c r="H9" s="153"/>
      <c r="I9" s="153"/>
      <c r="J9" s="153"/>
    </row>
    <row r="10" spans="1:10">
      <c r="A10" s="89"/>
      <c r="B10" s="154"/>
      <c r="C10" s="154"/>
      <c r="D10" s="154"/>
      <c r="E10" s="280" t="s">
        <v>63</v>
      </c>
      <c r="F10" s="540"/>
      <c r="G10" s="280" t="s">
        <v>156</v>
      </c>
      <c r="H10" s="153"/>
      <c r="I10" s="153"/>
      <c r="J10" s="153"/>
    </row>
    <row r="11" spans="1:10">
      <c r="A11" s="89"/>
      <c r="B11" s="154"/>
      <c r="C11" s="154"/>
      <c r="D11" s="154"/>
      <c r="E11" s="280" t="s">
        <v>157</v>
      </c>
      <c r="F11" s="540"/>
      <c r="G11" s="280" t="s">
        <v>157</v>
      </c>
      <c r="H11" s="153"/>
      <c r="I11" s="153"/>
      <c r="J11" s="153"/>
    </row>
    <row r="12" spans="1:10">
      <c r="A12" s="89"/>
      <c r="B12" s="154"/>
      <c r="C12" s="154"/>
      <c r="D12" s="154"/>
      <c r="E12" s="563" t="s">
        <v>390</v>
      </c>
      <c r="F12" s="540"/>
      <c r="G12" s="563" t="s">
        <v>388</v>
      </c>
      <c r="H12" s="153"/>
      <c r="I12" s="153"/>
      <c r="J12" s="153"/>
    </row>
    <row r="13" spans="1:10">
      <c r="A13" s="89"/>
      <c r="B13" s="154"/>
      <c r="C13" s="154"/>
      <c r="D13" s="154"/>
      <c r="E13" s="280" t="s">
        <v>158</v>
      </c>
      <c r="F13" s="540"/>
      <c r="G13" s="280" t="s">
        <v>158</v>
      </c>
      <c r="H13" s="153"/>
      <c r="I13" s="153"/>
      <c r="J13" s="153"/>
    </row>
    <row r="14" spans="1:10">
      <c r="A14" s="89"/>
      <c r="B14" s="155" t="s">
        <v>421</v>
      </c>
      <c r="C14" s="154"/>
      <c r="D14" s="154"/>
      <c r="E14" s="194"/>
      <c r="F14" s="195"/>
      <c r="G14" s="281"/>
      <c r="H14" s="153"/>
      <c r="I14" s="153"/>
      <c r="J14" s="153"/>
    </row>
    <row r="15" spans="1:10">
      <c r="A15" s="89"/>
      <c r="B15" s="156" t="s">
        <v>0</v>
      </c>
      <c r="C15" s="154"/>
      <c r="D15" s="154"/>
      <c r="E15" s="281">
        <f ca="1">IS!I30</f>
        <v>-1550</v>
      </c>
      <c r="F15" s="195"/>
      <c r="G15" s="281">
        <v>-1369.5</v>
      </c>
      <c r="H15" s="153"/>
      <c r="I15" s="153"/>
      <c r="J15" s="153"/>
    </row>
    <row r="16" spans="1:10">
      <c r="A16" s="89"/>
      <c r="B16" s="154" t="s">
        <v>529</v>
      </c>
      <c r="C16" s="154"/>
      <c r="D16" s="154"/>
      <c r="E16" s="281"/>
      <c r="F16" s="195"/>
      <c r="G16" s="281"/>
      <c r="H16" s="153"/>
      <c r="I16" s="153"/>
      <c r="J16" s="153"/>
    </row>
    <row r="17" spans="1:10">
      <c r="A17" s="89"/>
      <c r="B17" s="154"/>
      <c r="C17" s="154" t="s">
        <v>87</v>
      </c>
      <c r="D17" s="154"/>
      <c r="E17" s="281">
        <f ca="1">-IS!I23</f>
        <v>310</v>
      </c>
      <c r="F17" s="195"/>
      <c r="G17" s="281">
        <v>349</v>
      </c>
      <c r="H17" s="153"/>
      <c r="I17" s="153"/>
      <c r="J17" s="153"/>
    </row>
    <row r="18" spans="1:10" ht="15.75" thickBot="1">
      <c r="A18" s="89"/>
      <c r="B18" s="154"/>
      <c r="C18" s="154" t="s">
        <v>68</v>
      </c>
      <c r="D18" s="154"/>
      <c r="E18" s="368">
        <v>0</v>
      </c>
      <c r="F18" s="195"/>
      <c r="G18" s="368">
        <v>297</v>
      </c>
      <c r="H18" s="153"/>
      <c r="I18" s="153"/>
      <c r="J18" s="153"/>
    </row>
    <row r="19" spans="1:10">
      <c r="A19" s="89"/>
      <c r="B19" s="156" t="s">
        <v>418</v>
      </c>
      <c r="C19" s="154"/>
      <c r="D19" s="154"/>
      <c r="E19" s="283">
        <f>SUM(E15:E18)</f>
        <v>-1240</v>
      </c>
      <c r="F19" s="195"/>
      <c r="G19" s="283">
        <f>SUM(G15:G18)</f>
        <v>-723.5</v>
      </c>
      <c r="H19" s="153"/>
      <c r="I19" s="153"/>
      <c r="J19" s="153"/>
    </row>
    <row r="20" spans="1:10">
      <c r="A20" s="89"/>
      <c r="B20" s="154"/>
      <c r="C20" s="154"/>
      <c r="D20" s="154"/>
      <c r="E20" s="194"/>
      <c r="F20" s="195"/>
      <c r="G20" s="281"/>
      <c r="H20" s="153"/>
      <c r="I20" s="153"/>
      <c r="J20" s="153"/>
    </row>
    <row r="21" spans="1:10">
      <c r="A21" s="89"/>
      <c r="B21" s="154"/>
      <c r="C21" s="154" t="s">
        <v>419</v>
      </c>
      <c r="D21" s="154"/>
      <c r="E21" s="281">
        <v>2316</v>
      </c>
      <c r="F21" s="195"/>
      <c r="G21" s="281">
        <f>-249+749+12</f>
        <v>512</v>
      </c>
      <c r="H21" s="153"/>
      <c r="I21" s="153"/>
      <c r="J21" s="153"/>
    </row>
    <row r="22" spans="1:10">
      <c r="A22" s="89"/>
      <c r="B22" s="154"/>
      <c r="C22" s="154" t="s">
        <v>420</v>
      </c>
      <c r="D22" s="154"/>
      <c r="E22" s="281">
        <v>-1437</v>
      </c>
      <c r="F22" s="195"/>
      <c r="G22" s="281">
        <v>207</v>
      </c>
      <c r="H22" s="153"/>
      <c r="I22" s="153"/>
      <c r="J22" s="153"/>
    </row>
    <row r="23" spans="1:10">
      <c r="A23" s="89"/>
      <c r="B23" s="154" t="s">
        <v>496</v>
      </c>
      <c r="C23" s="154"/>
      <c r="D23" s="154"/>
      <c r="E23" s="284">
        <f>SUM(E19:E22)</f>
        <v>-361</v>
      </c>
      <c r="F23" s="195"/>
      <c r="G23" s="284">
        <f>SUM(G19:G22)</f>
        <v>-4.5</v>
      </c>
      <c r="H23" s="153"/>
      <c r="I23" s="153"/>
      <c r="J23" s="153"/>
    </row>
    <row r="24" spans="1:10">
      <c r="A24" s="89"/>
      <c r="B24" s="154"/>
      <c r="C24" s="154"/>
      <c r="D24" s="154"/>
      <c r="E24" s="194"/>
      <c r="F24" s="195"/>
      <c r="G24" s="281"/>
      <c r="H24" s="153"/>
      <c r="I24" s="153"/>
      <c r="J24" s="153"/>
    </row>
    <row r="25" spans="1:10">
      <c r="A25" s="89"/>
      <c r="B25" s="154"/>
      <c r="C25" s="154" t="s">
        <v>393</v>
      </c>
      <c r="D25" s="154"/>
      <c r="E25" s="281">
        <v>0</v>
      </c>
      <c r="F25" s="195"/>
      <c r="G25" s="281">
        <v>-130</v>
      </c>
      <c r="H25" s="153"/>
      <c r="I25" s="153"/>
      <c r="J25" s="153"/>
    </row>
    <row r="26" spans="1:10">
      <c r="A26" s="89"/>
      <c r="B26" s="154"/>
      <c r="C26" s="154" t="s">
        <v>159</v>
      </c>
      <c r="D26" s="154"/>
      <c r="E26" s="281">
        <v>8</v>
      </c>
      <c r="F26" s="195"/>
      <c r="G26" s="283">
        <v>145</v>
      </c>
      <c r="H26" s="153"/>
      <c r="I26" s="153"/>
      <c r="J26" s="153"/>
    </row>
    <row r="27" spans="1:10">
      <c r="A27" s="89"/>
      <c r="B27" s="154" t="s">
        <v>497</v>
      </c>
      <c r="C27" s="154"/>
      <c r="D27" s="154"/>
      <c r="E27" s="285">
        <f>SUM(E23:E26)</f>
        <v>-353</v>
      </c>
      <c r="F27" s="195"/>
      <c r="G27" s="285">
        <f>SUM(G23:G26)</f>
        <v>10.5</v>
      </c>
      <c r="H27" s="153"/>
      <c r="I27" s="153"/>
      <c r="J27" s="153"/>
    </row>
    <row r="28" spans="1:10">
      <c r="A28" s="89"/>
      <c r="B28" s="154"/>
      <c r="C28" s="154"/>
      <c r="D28" s="154"/>
      <c r="E28" s="281"/>
      <c r="F28" s="195"/>
      <c r="G28" s="281"/>
      <c r="H28" s="153"/>
      <c r="I28" s="153"/>
      <c r="J28" s="153"/>
    </row>
    <row r="29" spans="1:10">
      <c r="A29" s="89"/>
      <c r="B29" s="155" t="s">
        <v>423</v>
      </c>
      <c r="C29" s="154"/>
      <c r="D29" s="154"/>
      <c r="E29" s="281"/>
      <c r="F29" s="195"/>
      <c r="G29" s="281"/>
      <c r="H29" s="153"/>
      <c r="I29" s="153"/>
      <c r="J29" s="153"/>
    </row>
    <row r="30" spans="1:10">
      <c r="A30" s="89"/>
      <c r="B30" s="154"/>
      <c r="C30" s="154" t="s">
        <v>160</v>
      </c>
      <c r="D30" s="154"/>
      <c r="E30" s="281">
        <v>-10</v>
      </c>
      <c r="F30" s="195"/>
      <c r="G30" s="281">
        <v>28</v>
      </c>
      <c r="H30" s="153"/>
      <c r="I30" s="153"/>
      <c r="J30" s="153"/>
    </row>
    <row r="31" spans="1:10">
      <c r="A31" s="89"/>
      <c r="B31" s="154"/>
      <c r="C31" s="154" t="s">
        <v>491</v>
      </c>
      <c r="D31" s="154"/>
      <c r="E31" s="281">
        <v>0</v>
      </c>
      <c r="F31" s="195"/>
      <c r="G31" s="281">
        <v>-23</v>
      </c>
      <c r="H31" s="153"/>
      <c r="I31" s="153"/>
      <c r="J31" s="153"/>
    </row>
    <row r="32" spans="1:10">
      <c r="A32" s="89"/>
      <c r="B32" s="154"/>
      <c r="C32" s="154" t="s">
        <v>499</v>
      </c>
      <c r="D32" s="154"/>
      <c r="E32" s="281">
        <v>3</v>
      </c>
      <c r="F32" s="195"/>
      <c r="G32" s="281">
        <v>-30</v>
      </c>
      <c r="H32" s="153"/>
      <c r="I32" s="153"/>
      <c r="J32" s="153"/>
    </row>
    <row r="33" spans="1:10">
      <c r="A33" s="89"/>
      <c r="B33" s="156" t="s">
        <v>161</v>
      </c>
      <c r="C33" s="154"/>
      <c r="D33" s="154"/>
      <c r="E33" s="285">
        <f>SUM(E30:E32)</f>
        <v>-7</v>
      </c>
      <c r="F33" s="195"/>
      <c r="G33" s="285">
        <f>SUM(G30:G32)</f>
        <v>-25</v>
      </c>
      <c r="H33" s="153"/>
      <c r="I33" s="153"/>
      <c r="J33" s="153"/>
    </row>
    <row r="34" spans="1:10">
      <c r="A34" s="89"/>
      <c r="B34" s="154"/>
      <c r="C34" s="154"/>
      <c r="D34" s="154"/>
      <c r="E34" s="281"/>
      <c r="F34" s="195"/>
      <c r="G34" s="281"/>
      <c r="H34" s="153"/>
      <c r="I34" s="153"/>
      <c r="J34" s="153"/>
    </row>
    <row r="35" spans="1:10">
      <c r="A35" s="89"/>
      <c r="B35" s="155" t="s">
        <v>422</v>
      </c>
      <c r="C35" s="154"/>
      <c r="D35" s="154"/>
      <c r="E35" s="281"/>
      <c r="F35" s="195"/>
      <c r="G35" s="281"/>
      <c r="H35" s="153"/>
      <c r="I35" s="153"/>
      <c r="J35" s="153"/>
    </row>
    <row r="36" spans="1:10">
      <c r="A36" s="89"/>
      <c r="C36" s="154" t="s">
        <v>500</v>
      </c>
      <c r="D36" s="154"/>
      <c r="E36" s="281">
        <v>1078</v>
      </c>
      <c r="F36" s="195"/>
      <c r="G36" s="281">
        <v>0</v>
      </c>
      <c r="H36" s="153"/>
      <c r="I36" s="153"/>
      <c r="J36" s="153"/>
    </row>
    <row r="37" spans="1:10">
      <c r="A37" s="89"/>
      <c r="B37" s="154"/>
      <c r="C37" s="154" t="s">
        <v>162</v>
      </c>
      <c r="D37" s="154"/>
      <c r="E37" s="281">
        <v>0</v>
      </c>
      <c r="F37" s="195"/>
      <c r="G37" s="281">
        <v>-394</v>
      </c>
      <c r="H37" s="153"/>
      <c r="I37" s="153"/>
      <c r="J37" s="153"/>
    </row>
    <row r="38" spans="1:10">
      <c r="A38" s="89"/>
      <c r="B38" s="154"/>
      <c r="C38" s="156" t="s">
        <v>71</v>
      </c>
      <c r="D38" s="154"/>
      <c r="E38" s="281">
        <v>0</v>
      </c>
      <c r="F38" s="195"/>
      <c r="G38" s="281">
        <v>-180</v>
      </c>
      <c r="H38" s="153"/>
      <c r="I38" s="153"/>
      <c r="J38" s="153"/>
    </row>
    <row r="39" spans="1:10">
      <c r="A39" s="89"/>
      <c r="B39" s="154"/>
      <c r="C39" s="154" t="s">
        <v>424</v>
      </c>
      <c r="D39" s="154"/>
      <c r="E39" s="281">
        <v>-876</v>
      </c>
      <c r="F39" s="195"/>
      <c r="G39" s="281">
        <v>157</v>
      </c>
      <c r="H39" s="153"/>
      <c r="I39" s="153"/>
      <c r="J39" s="153"/>
    </row>
    <row r="40" spans="1:10">
      <c r="A40" s="89"/>
      <c r="B40" s="156" t="s">
        <v>498</v>
      </c>
      <c r="D40" s="154"/>
      <c r="E40" s="285">
        <f>SUM(E36:E39)</f>
        <v>202</v>
      </c>
      <c r="F40" s="195"/>
      <c r="G40" s="285">
        <f>SUM(G37:G39)</f>
        <v>-417</v>
      </c>
      <c r="H40" s="153"/>
      <c r="I40" s="153"/>
      <c r="J40" s="153"/>
    </row>
    <row r="41" spans="1:10">
      <c r="A41" s="89"/>
      <c r="B41" s="154"/>
      <c r="C41" s="154"/>
      <c r="D41" s="154"/>
      <c r="E41" s="281"/>
      <c r="F41" s="195"/>
      <c r="G41" s="281"/>
      <c r="H41" s="153"/>
      <c r="I41" s="153"/>
      <c r="J41" s="153"/>
    </row>
    <row r="42" spans="1:10">
      <c r="A42" s="89"/>
      <c r="B42" s="156" t="s">
        <v>501</v>
      </c>
      <c r="C42" s="154"/>
      <c r="D42" s="154"/>
      <c r="E42" s="283">
        <f>SUM(E33+E40)+E27</f>
        <v>-158</v>
      </c>
      <c r="F42" s="195"/>
      <c r="G42" s="283">
        <f>SUM(G33+G36+G40)+G27</f>
        <v>-431.5</v>
      </c>
      <c r="H42" s="153"/>
      <c r="I42" s="153"/>
      <c r="J42" s="153"/>
    </row>
    <row r="43" spans="1:10">
      <c r="A43" s="89"/>
      <c r="B43" s="154" t="s">
        <v>502</v>
      </c>
      <c r="C43" s="154"/>
      <c r="D43" s="154"/>
      <c r="E43" s="281">
        <v>-1247</v>
      </c>
      <c r="F43" s="195"/>
      <c r="G43" s="281">
        <v>-1975.4</v>
      </c>
      <c r="H43" s="153"/>
      <c r="I43" s="153"/>
      <c r="J43" s="153"/>
    </row>
    <row r="44" spans="1:10" ht="15.75" thickBot="1">
      <c r="A44" s="89"/>
      <c r="B44" s="154" t="s">
        <v>163</v>
      </c>
      <c r="C44" s="154"/>
      <c r="D44" s="154"/>
      <c r="E44" s="512">
        <f>SUM(E42:E43)</f>
        <v>-1405</v>
      </c>
      <c r="F44" s="195"/>
      <c r="G44" s="512">
        <f>SUM(G42:G43)</f>
        <v>-2406.9</v>
      </c>
      <c r="H44" s="153"/>
      <c r="I44" s="153"/>
      <c r="J44" s="153"/>
    </row>
    <row r="45" spans="1:10">
      <c r="A45" s="89"/>
      <c r="B45" s="154"/>
      <c r="C45" s="154"/>
      <c r="D45" s="154"/>
      <c r="E45" s="281"/>
      <c r="F45" s="195"/>
      <c r="G45" s="281"/>
      <c r="H45" s="153"/>
      <c r="I45" s="153"/>
      <c r="J45" s="153"/>
    </row>
    <row r="46" spans="1:10">
      <c r="A46" s="89"/>
      <c r="B46" s="155" t="s">
        <v>528</v>
      </c>
      <c r="C46" s="154"/>
      <c r="D46" s="154"/>
      <c r="E46" s="281"/>
      <c r="F46" s="195"/>
      <c r="G46" s="281"/>
      <c r="H46" s="153"/>
      <c r="I46" s="153"/>
      <c r="J46" s="153"/>
    </row>
    <row r="47" spans="1:10">
      <c r="A47" s="89"/>
      <c r="B47" s="154"/>
      <c r="C47" s="154" t="s">
        <v>164</v>
      </c>
      <c r="D47" s="154"/>
      <c r="E47" s="281">
        <f ca="1">FP!G28</f>
        <v>2194.5243100000002</v>
      </c>
      <c r="F47" s="195"/>
      <c r="G47" s="281">
        <v>3036</v>
      </c>
      <c r="H47" s="153"/>
      <c r="I47" s="153"/>
      <c r="J47" s="153"/>
    </row>
    <row r="48" spans="1:10">
      <c r="A48" s="89"/>
      <c r="B48" s="154"/>
      <c r="C48" s="154" t="s">
        <v>425</v>
      </c>
      <c r="D48" s="154"/>
      <c r="E48" s="282">
        <f>-E47</f>
        <v>-2194.5243100000002</v>
      </c>
      <c r="F48" s="195"/>
      <c r="G48" s="282">
        <v>-3006</v>
      </c>
      <c r="H48" s="153"/>
      <c r="I48" s="153"/>
      <c r="J48" s="153"/>
    </row>
    <row r="49" spans="1:10">
      <c r="A49" s="89"/>
      <c r="B49" s="154"/>
      <c r="C49" s="154"/>
      <c r="D49" s="154"/>
      <c r="E49" s="280">
        <f>SUM(E47:E48)</f>
        <v>0</v>
      </c>
      <c r="F49" s="195"/>
      <c r="G49" s="281">
        <f>SUM(G47:G48)</f>
        <v>30</v>
      </c>
      <c r="H49" s="153"/>
      <c r="I49" s="153"/>
      <c r="J49" s="153"/>
    </row>
    <row r="50" spans="1:10">
      <c r="A50" s="89"/>
      <c r="B50" s="154"/>
      <c r="C50" s="154" t="s">
        <v>30</v>
      </c>
      <c r="D50" s="154"/>
      <c r="E50" s="281">
        <f ca="1">WBS!X28/1000</f>
        <v>14.257569999999999</v>
      </c>
      <c r="F50" s="195"/>
      <c r="G50" s="281">
        <v>-596.4</v>
      </c>
      <c r="H50" s="153"/>
      <c r="I50" s="153"/>
      <c r="J50" s="153"/>
    </row>
    <row r="51" spans="1:10">
      <c r="A51" s="89"/>
      <c r="B51" s="154"/>
      <c r="C51" s="156" t="s">
        <v>426</v>
      </c>
      <c r="D51" s="154"/>
      <c r="E51" s="281">
        <f ca="1">-WBS!X40/1000</f>
        <v>-1419.2681800000003</v>
      </c>
      <c r="F51" s="195"/>
      <c r="G51" s="281">
        <v>-1839.4</v>
      </c>
      <c r="H51" s="153"/>
      <c r="I51" s="153"/>
      <c r="J51" s="153"/>
    </row>
    <row r="52" spans="1:10" ht="15.75" thickBot="1">
      <c r="A52" s="89"/>
      <c r="B52" s="154"/>
      <c r="C52" s="154"/>
      <c r="D52" s="154"/>
      <c r="E52" s="512">
        <f>SUM(E49:E51)</f>
        <v>-1405.0106100000003</v>
      </c>
      <c r="F52" s="195"/>
      <c r="G52" s="512">
        <f>SUM(G49:G51)</f>
        <v>-2405.8000000000002</v>
      </c>
      <c r="H52" s="153"/>
      <c r="I52" s="153"/>
      <c r="J52" s="153"/>
    </row>
    <row r="53" spans="1:10">
      <c r="A53" s="89"/>
      <c r="B53" s="156"/>
      <c r="C53" s="154"/>
      <c r="D53" s="154"/>
      <c r="E53" s="194"/>
      <c r="F53" s="195"/>
      <c r="G53" s="194"/>
      <c r="H53" s="153"/>
      <c r="I53" s="153"/>
      <c r="J53" s="153"/>
    </row>
    <row r="54" spans="1:10">
      <c r="A54" s="89"/>
      <c r="B54" s="154" t="s">
        <v>428</v>
      </c>
      <c r="D54" s="154"/>
      <c r="E54" s="194"/>
      <c r="F54" s="195"/>
      <c r="G54" s="194"/>
      <c r="H54" s="153"/>
      <c r="I54" s="153"/>
      <c r="J54" s="153"/>
    </row>
    <row r="55" spans="1:10">
      <c r="A55" s="89"/>
      <c r="B55" s="157" t="s">
        <v>427</v>
      </c>
      <c r="D55" s="154"/>
      <c r="E55" s="194"/>
      <c r="F55" s="195"/>
      <c r="G55" s="194"/>
      <c r="H55" s="153"/>
      <c r="I55" s="153"/>
      <c r="J55" s="153"/>
    </row>
    <row r="56" spans="1:10">
      <c r="A56" s="89"/>
      <c r="B56" s="154"/>
      <c r="C56" s="156" t="s">
        <v>165</v>
      </c>
      <c r="D56" s="154"/>
      <c r="E56" s="237"/>
      <c r="F56" s="541"/>
      <c r="G56" s="194"/>
      <c r="H56" s="153"/>
      <c r="I56" s="153"/>
      <c r="J56" s="153"/>
    </row>
    <row r="57" spans="1:10">
      <c r="A57" s="89"/>
      <c r="B57" s="89"/>
      <c r="C57" s="89"/>
      <c r="D57" s="89"/>
      <c r="E57" s="238"/>
      <c r="F57" s="542"/>
      <c r="G57" s="238"/>
    </row>
    <row r="58" spans="1:10">
      <c r="A58" s="89"/>
      <c r="B58" s="89"/>
      <c r="C58" s="89"/>
      <c r="D58" s="89"/>
      <c r="E58" s="513"/>
      <c r="F58" s="542"/>
      <c r="G58" s="238"/>
    </row>
    <row r="60" spans="1:10">
      <c r="C60" s="165"/>
      <c r="D60" s="165"/>
      <c r="E60" s="239"/>
      <c r="F60" s="544"/>
      <c r="G60" s="520"/>
      <c r="H60" s="165"/>
      <c r="I60" s="165"/>
      <c r="J60" s="165"/>
    </row>
    <row r="61" spans="1:10">
      <c r="C61" s="165"/>
      <c r="D61" s="165"/>
      <c r="E61" s="239"/>
      <c r="F61" s="544"/>
      <c r="G61" s="520"/>
      <c r="H61" s="165"/>
      <c r="I61" s="165"/>
      <c r="J61" s="165"/>
    </row>
    <row r="62" spans="1:10">
      <c r="C62" s="165"/>
      <c r="D62" s="165"/>
      <c r="E62" s="239"/>
      <c r="F62" s="544"/>
      <c r="G62" s="520"/>
      <c r="H62" s="165"/>
      <c r="I62" s="165"/>
      <c r="J62" s="165"/>
    </row>
  </sheetData>
  <mergeCells count="4">
    <mergeCell ref="A1:G1"/>
    <mergeCell ref="A2:G2"/>
    <mergeCell ref="A3:G3"/>
    <mergeCell ref="A4:G4"/>
  </mergeCells>
  <phoneticPr fontId="25" type="noConversion"/>
  <pageMargins left="0.7" right="0.7" top="0.75" bottom="0.75" header="0.3" footer="0.3"/>
  <pageSetup scale="71" orientation="portrait" r:id="rId1"/>
</worksheet>
</file>

<file path=xl/worksheets/sheet6.xml><?xml version="1.0" encoding="utf-8"?>
<worksheet xmlns="http://schemas.openxmlformats.org/spreadsheetml/2006/main" xmlns:r="http://schemas.openxmlformats.org/officeDocument/2006/relationships">
  <sheetPr>
    <tabColor indexed="10"/>
  </sheetPr>
  <dimension ref="B3:T192"/>
  <sheetViews>
    <sheetView view="pageBreakPreview" zoomScaleSheetLayoutView="100" workbookViewId="0">
      <selection activeCell="J122" sqref="J122"/>
    </sheetView>
  </sheetViews>
  <sheetFormatPr defaultColWidth="8.7109375" defaultRowHeight="12.75"/>
  <cols>
    <col min="1" max="1" width="1.7109375" style="58" customWidth="1"/>
    <col min="2" max="2" width="3.5703125" style="58" customWidth="1"/>
    <col min="3" max="3" width="3.28515625" style="58" customWidth="1"/>
    <col min="4" max="4" width="6.5703125" style="58" customWidth="1"/>
    <col min="5" max="5" width="7.42578125" style="58" customWidth="1"/>
    <col min="6" max="6" width="8.85546875" style="58" customWidth="1"/>
    <col min="7" max="7" width="11.28515625" style="58" customWidth="1"/>
    <col min="8" max="8" width="13.5703125" style="58" customWidth="1"/>
    <col min="9" max="9" width="0.140625" style="58" customWidth="1"/>
    <col min="10" max="10" width="12.5703125" style="58" customWidth="1"/>
    <col min="11" max="11" width="0.5703125" style="58" customWidth="1"/>
    <col min="12" max="12" width="12.5703125" style="58" customWidth="1"/>
    <col min="13" max="13" width="0.28515625" style="58" customWidth="1"/>
    <col min="14" max="14" width="14.42578125" style="58" customWidth="1"/>
    <col min="15" max="15" width="12.28515625" style="58" customWidth="1"/>
    <col min="16" max="16" width="14.5703125" style="58" bestFit="1" customWidth="1"/>
    <col min="17" max="16384" width="8.7109375" style="58"/>
  </cols>
  <sheetData>
    <row r="3" spans="2:18" ht="20.25">
      <c r="B3" s="1" t="s">
        <v>77</v>
      </c>
      <c r="C3" s="3"/>
      <c r="D3" s="3"/>
      <c r="E3" s="50"/>
      <c r="F3" s="50"/>
      <c r="G3" s="50"/>
      <c r="H3" s="3"/>
      <c r="Q3" s="59"/>
    </row>
    <row r="4" spans="2:18" ht="15.75">
      <c r="B4" s="2"/>
      <c r="C4" s="2"/>
      <c r="D4" s="2"/>
      <c r="E4" s="50"/>
      <c r="F4" s="50"/>
      <c r="G4" s="50"/>
      <c r="H4" s="3"/>
      <c r="Q4" s="59"/>
    </row>
    <row r="5" spans="2:18" ht="15.75">
      <c r="B5" s="59" t="s">
        <v>392</v>
      </c>
      <c r="Q5" s="59"/>
    </row>
    <row r="6" spans="2:18">
      <c r="B6" s="60"/>
      <c r="Q6" s="60"/>
    </row>
    <row r="7" spans="2:18" s="62" customFormat="1" ht="15">
      <c r="B7" s="65" t="s">
        <v>31</v>
      </c>
      <c r="C7" s="61" t="s">
        <v>72</v>
      </c>
      <c r="D7" s="61"/>
      <c r="E7" s="61"/>
      <c r="Q7" s="61"/>
      <c r="R7" s="61"/>
    </row>
    <row r="8" spans="2:18" s="62" customFormat="1" ht="15">
      <c r="B8" s="65"/>
      <c r="Q8" s="61"/>
    </row>
    <row r="9" spans="2:18" s="62" customFormat="1" ht="15">
      <c r="B9" s="65" t="s">
        <v>32</v>
      </c>
      <c r="C9" s="61" t="s">
        <v>33</v>
      </c>
      <c r="D9" s="61"/>
      <c r="E9" s="61"/>
      <c r="Q9" s="61"/>
      <c r="R9" s="61"/>
    </row>
    <row r="10" spans="2:18" s="62" customFormat="1" ht="14.25">
      <c r="B10" s="159"/>
      <c r="C10" s="587" t="s">
        <v>526</v>
      </c>
      <c r="D10" s="587"/>
      <c r="E10" s="587"/>
      <c r="F10" s="587"/>
      <c r="G10" s="587"/>
      <c r="H10" s="587"/>
      <c r="I10" s="587"/>
      <c r="J10" s="587"/>
      <c r="K10" s="587"/>
      <c r="L10" s="587"/>
      <c r="M10" s="587"/>
      <c r="N10" s="587"/>
    </row>
    <row r="11" spans="2:18" s="62" customFormat="1" ht="14.25">
      <c r="B11" s="159"/>
      <c r="C11" s="587"/>
      <c r="D11" s="587"/>
      <c r="E11" s="587"/>
      <c r="F11" s="587"/>
      <c r="G11" s="587"/>
      <c r="H11" s="587"/>
      <c r="I11" s="587"/>
      <c r="J11" s="587"/>
      <c r="K11" s="588"/>
      <c r="L11" s="587"/>
      <c r="M11" s="587"/>
      <c r="N11" s="587"/>
    </row>
    <row r="12" spans="2:18" s="62" customFormat="1" ht="14.25">
      <c r="B12" s="159"/>
      <c r="C12" s="587"/>
      <c r="D12" s="587"/>
      <c r="E12" s="587"/>
      <c r="F12" s="587"/>
      <c r="G12" s="587"/>
      <c r="H12" s="587"/>
      <c r="I12" s="587"/>
      <c r="J12" s="587"/>
      <c r="K12" s="587"/>
      <c r="L12" s="587"/>
      <c r="M12" s="587"/>
      <c r="N12" s="587"/>
    </row>
    <row r="13" spans="2:18" s="62" customFormat="1" ht="14.25">
      <c r="B13" s="159"/>
      <c r="C13" s="587"/>
      <c r="D13" s="587"/>
      <c r="E13" s="587"/>
      <c r="F13" s="587"/>
      <c r="G13" s="587"/>
      <c r="H13" s="587"/>
      <c r="I13" s="587"/>
      <c r="J13" s="587"/>
      <c r="K13" s="587"/>
      <c r="L13" s="587"/>
      <c r="M13" s="587"/>
      <c r="N13" s="587"/>
    </row>
    <row r="14" spans="2:18" s="62" customFormat="1" ht="14.25">
      <c r="B14" s="159"/>
      <c r="C14" s="587"/>
      <c r="D14" s="587"/>
      <c r="E14" s="587"/>
      <c r="F14" s="587"/>
      <c r="G14" s="587"/>
      <c r="H14" s="587"/>
      <c r="I14" s="587"/>
      <c r="J14" s="587"/>
      <c r="K14" s="587"/>
      <c r="L14" s="587"/>
      <c r="M14" s="587"/>
      <c r="N14" s="587"/>
    </row>
    <row r="15" spans="2:18" s="62" customFormat="1" ht="14.25">
      <c r="B15" s="159"/>
      <c r="C15" s="587"/>
      <c r="D15" s="587"/>
      <c r="E15" s="587"/>
      <c r="F15" s="587"/>
      <c r="G15" s="587"/>
      <c r="H15" s="587"/>
      <c r="I15" s="587"/>
      <c r="J15" s="587"/>
      <c r="K15" s="587"/>
      <c r="L15" s="587"/>
      <c r="M15" s="587"/>
      <c r="N15" s="587"/>
    </row>
    <row r="16" spans="2:18" s="62" customFormat="1" ht="14.25">
      <c r="B16" s="159"/>
      <c r="C16" s="587"/>
      <c r="D16" s="587"/>
      <c r="E16" s="587"/>
      <c r="F16" s="587"/>
      <c r="G16" s="587"/>
      <c r="H16" s="587"/>
      <c r="I16" s="587"/>
      <c r="J16" s="587"/>
      <c r="K16" s="587"/>
      <c r="L16" s="587"/>
      <c r="M16" s="587"/>
      <c r="N16" s="587"/>
    </row>
    <row r="17" spans="2:14" s="62" customFormat="1" ht="14.25">
      <c r="B17" s="159"/>
      <c r="C17" s="456"/>
      <c r="D17" s="456"/>
      <c r="E17" s="456"/>
      <c r="F17" s="456"/>
      <c r="G17" s="456"/>
      <c r="H17" s="456"/>
      <c r="I17" s="456"/>
      <c r="J17" s="456"/>
      <c r="K17" s="456"/>
      <c r="L17" s="456"/>
      <c r="M17" s="456"/>
      <c r="N17" s="456"/>
    </row>
    <row r="18" spans="2:14" s="62" customFormat="1" ht="15">
      <c r="B18" s="65" t="s">
        <v>34</v>
      </c>
      <c r="C18" s="61" t="s">
        <v>35</v>
      </c>
      <c r="D18" s="61"/>
    </row>
    <row r="19" spans="2:14" s="62" customFormat="1" ht="14.25">
      <c r="B19" s="159"/>
      <c r="C19" s="592" t="s">
        <v>429</v>
      </c>
      <c r="D19" s="592"/>
      <c r="E19" s="592"/>
      <c r="F19" s="592"/>
      <c r="G19" s="592"/>
      <c r="H19" s="592"/>
      <c r="I19" s="592"/>
      <c r="J19" s="592"/>
      <c r="K19" s="592"/>
      <c r="L19" s="592"/>
      <c r="M19" s="592"/>
      <c r="N19" s="592"/>
    </row>
    <row r="20" spans="2:14" s="62" customFormat="1" ht="14.25">
      <c r="B20" s="159"/>
      <c r="C20" s="592"/>
      <c r="D20" s="592"/>
      <c r="E20" s="592"/>
      <c r="F20" s="592"/>
      <c r="G20" s="592"/>
      <c r="H20" s="592"/>
      <c r="I20" s="592"/>
      <c r="J20" s="592"/>
      <c r="K20" s="592"/>
      <c r="L20" s="592"/>
      <c r="M20" s="592"/>
      <c r="N20" s="592"/>
    </row>
    <row r="21" spans="2:14" s="62" customFormat="1" ht="14.25">
      <c r="B21" s="159"/>
      <c r="C21" s="592"/>
      <c r="D21" s="592"/>
      <c r="E21" s="592"/>
      <c r="F21" s="592"/>
      <c r="G21" s="592"/>
      <c r="H21" s="592"/>
      <c r="I21" s="592"/>
      <c r="J21" s="592"/>
      <c r="K21" s="592"/>
      <c r="L21" s="592"/>
      <c r="M21" s="592"/>
      <c r="N21" s="592"/>
    </row>
    <row r="22" spans="2:14" s="62" customFormat="1" ht="14.25">
      <c r="B22" s="159"/>
      <c r="C22" s="592"/>
      <c r="D22" s="592"/>
      <c r="E22" s="592"/>
      <c r="F22" s="592"/>
      <c r="G22" s="592"/>
      <c r="H22" s="592"/>
      <c r="I22" s="592"/>
      <c r="J22" s="592"/>
      <c r="K22" s="592"/>
      <c r="L22" s="592"/>
      <c r="M22" s="592"/>
      <c r="N22" s="592"/>
    </row>
    <row r="23" spans="2:14" s="62" customFormat="1" ht="14.25">
      <c r="B23" s="159"/>
      <c r="C23" s="593"/>
      <c r="D23" s="593"/>
      <c r="E23" s="593"/>
      <c r="F23" s="593"/>
      <c r="G23" s="593"/>
      <c r="H23" s="593"/>
      <c r="I23" s="593"/>
      <c r="J23" s="593"/>
      <c r="K23" s="593"/>
      <c r="L23" s="593"/>
      <c r="M23" s="593"/>
      <c r="N23" s="593"/>
    </row>
    <row r="24" spans="2:14" s="62" customFormat="1" ht="14.25">
      <c r="B24" s="159"/>
      <c r="C24" s="593"/>
      <c r="D24" s="593"/>
      <c r="E24" s="593"/>
      <c r="F24" s="593"/>
      <c r="G24" s="593"/>
      <c r="H24" s="593"/>
      <c r="I24" s="593"/>
      <c r="J24" s="593"/>
      <c r="K24" s="593"/>
      <c r="L24" s="593"/>
      <c r="M24" s="593"/>
      <c r="N24" s="593"/>
    </row>
    <row r="25" spans="2:14" s="62" customFormat="1" ht="14.25">
      <c r="B25" s="159"/>
      <c r="C25" s="545" t="s">
        <v>357</v>
      </c>
      <c r="D25" s="545"/>
      <c r="E25" s="545"/>
      <c r="F25" s="545" t="s">
        <v>430</v>
      </c>
      <c r="G25" s="545" t="s">
        <v>450</v>
      </c>
      <c r="H25" s="545"/>
      <c r="I25" s="545"/>
      <c r="K25" s="456"/>
      <c r="L25" s="456"/>
      <c r="M25" s="456"/>
      <c r="N25" s="456"/>
    </row>
    <row r="26" spans="2:14" s="62" customFormat="1" ht="14.25">
      <c r="B26" s="159"/>
      <c r="C26" s="545" t="s">
        <v>358</v>
      </c>
      <c r="D26" s="545"/>
      <c r="E26" s="545"/>
      <c r="F26" s="545" t="s">
        <v>431</v>
      </c>
      <c r="G26" s="545" t="s">
        <v>451</v>
      </c>
      <c r="H26" s="545"/>
      <c r="I26" s="545"/>
      <c r="K26" s="456"/>
      <c r="L26" s="456"/>
      <c r="M26" s="456"/>
      <c r="N26" s="456"/>
    </row>
    <row r="27" spans="2:14" s="62" customFormat="1" ht="14.25">
      <c r="B27" s="159"/>
      <c r="C27" s="458" t="s">
        <v>436</v>
      </c>
      <c r="D27" s="458"/>
      <c r="E27" s="457"/>
      <c r="F27" s="458"/>
      <c r="G27" s="545" t="s">
        <v>432</v>
      </c>
      <c r="I27" s="545"/>
      <c r="J27" s="545"/>
      <c r="K27" s="456"/>
      <c r="L27" s="456"/>
      <c r="M27" s="456"/>
      <c r="N27" s="456"/>
    </row>
    <row r="28" spans="2:14" s="62" customFormat="1" ht="14.25">
      <c r="B28" s="159"/>
      <c r="C28" s="458" t="s">
        <v>359</v>
      </c>
      <c r="D28" s="458"/>
      <c r="E28" s="457"/>
      <c r="F28" s="458" t="s">
        <v>433</v>
      </c>
      <c r="G28" s="458" t="s">
        <v>434</v>
      </c>
      <c r="I28" s="456"/>
      <c r="J28" s="456"/>
      <c r="K28" s="456"/>
      <c r="L28" s="456"/>
      <c r="M28" s="456"/>
      <c r="N28" s="456"/>
    </row>
    <row r="29" spans="2:14" s="62" customFormat="1" ht="14.25">
      <c r="B29" s="159"/>
      <c r="C29" s="458" t="s">
        <v>360</v>
      </c>
      <c r="D29" s="458"/>
      <c r="E29" s="457"/>
      <c r="F29" s="458"/>
      <c r="G29" s="458" t="s">
        <v>435</v>
      </c>
      <c r="I29" s="456"/>
      <c r="J29" s="456"/>
      <c r="K29" s="456"/>
      <c r="L29" s="456"/>
      <c r="M29" s="456"/>
      <c r="N29" s="456"/>
    </row>
    <row r="30" spans="2:14" s="62" customFormat="1" ht="14.25">
      <c r="B30" s="159"/>
      <c r="C30" s="458" t="s">
        <v>533</v>
      </c>
      <c r="D30" s="458"/>
      <c r="E30" s="457"/>
      <c r="F30" s="458"/>
      <c r="G30" s="458" t="s">
        <v>437</v>
      </c>
      <c r="I30" s="456"/>
      <c r="J30" s="456"/>
      <c r="K30" s="456"/>
      <c r="L30" s="456"/>
      <c r="M30" s="456"/>
      <c r="N30" s="456"/>
    </row>
    <row r="31" spans="2:14" s="62" customFormat="1" ht="14.25">
      <c r="B31" s="159"/>
      <c r="C31" s="458"/>
      <c r="D31" s="458"/>
      <c r="E31" s="457"/>
      <c r="F31" s="458"/>
      <c r="G31" s="458" t="s">
        <v>438</v>
      </c>
      <c r="I31" s="456"/>
      <c r="J31" s="456"/>
      <c r="K31" s="456"/>
      <c r="L31" s="456"/>
      <c r="M31" s="456"/>
      <c r="N31" s="456"/>
    </row>
    <row r="32" spans="2:14" s="62" customFormat="1" ht="14.25">
      <c r="B32" s="159"/>
      <c r="C32" s="458"/>
      <c r="D32" s="458"/>
      <c r="E32" s="457"/>
      <c r="F32" s="458"/>
      <c r="G32" s="458" t="s">
        <v>439</v>
      </c>
      <c r="I32" s="456"/>
      <c r="J32" s="456"/>
      <c r="K32" s="456"/>
      <c r="L32" s="456"/>
      <c r="M32" s="456"/>
      <c r="N32" s="456"/>
    </row>
    <row r="33" spans="2:14" s="62" customFormat="1" ht="14.25">
      <c r="B33" s="159"/>
      <c r="C33" s="458" t="s">
        <v>503</v>
      </c>
      <c r="D33" s="458"/>
      <c r="E33" s="457"/>
      <c r="F33" s="458"/>
      <c r="G33" s="458" t="s">
        <v>440</v>
      </c>
      <c r="I33" s="456"/>
      <c r="J33" s="456"/>
      <c r="K33" s="456"/>
      <c r="L33" s="456"/>
      <c r="M33" s="456"/>
      <c r="N33" s="456"/>
    </row>
    <row r="34" spans="2:14" s="62" customFormat="1" ht="14.25">
      <c r="B34" s="159"/>
      <c r="C34" s="458" t="s">
        <v>504</v>
      </c>
      <c r="D34" s="458"/>
      <c r="E34" s="457"/>
      <c r="F34" s="458"/>
      <c r="G34" s="458" t="s">
        <v>441</v>
      </c>
      <c r="I34" s="456"/>
      <c r="J34" s="456"/>
      <c r="K34" s="456"/>
      <c r="L34" s="456"/>
      <c r="M34" s="456"/>
      <c r="N34" s="456"/>
    </row>
    <row r="35" spans="2:14" s="62" customFormat="1" ht="14.25">
      <c r="B35" s="159"/>
      <c r="C35" s="458" t="s">
        <v>505</v>
      </c>
      <c r="D35" s="458"/>
      <c r="E35" s="457"/>
      <c r="F35" s="458"/>
      <c r="G35" s="458" t="s">
        <v>442</v>
      </c>
      <c r="I35" s="456"/>
      <c r="J35" s="456"/>
      <c r="K35" s="456"/>
      <c r="L35" s="456"/>
      <c r="M35" s="456"/>
      <c r="N35" s="456"/>
    </row>
    <row r="36" spans="2:14" s="62" customFormat="1" ht="14.25">
      <c r="B36" s="159"/>
      <c r="C36" s="458" t="s">
        <v>506</v>
      </c>
      <c r="D36" s="458"/>
      <c r="E36" s="457"/>
      <c r="F36" s="458"/>
      <c r="G36" s="458" t="s">
        <v>443</v>
      </c>
      <c r="I36" s="456"/>
      <c r="J36" s="456"/>
      <c r="K36" s="456"/>
      <c r="L36" s="456"/>
      <c r="M36" s="456"/>
      <c r="N36" s="456"/>
    </row>
    <row r="37" spans="2:14" s="62" customFormat="1" ht="14.25">
      <c r="B37" s="159"/>
      <c r="C37" s="458" t="s">
        <v>507</v>
      </c>
      <c r="D37" s="458"/>
      <c r="E37" s="457"/>
      <c r="F37" s="458"/>
      <c r="G37" s="458" t="s">
        <v>444</v>
      </c>
      <c r="I37" s="456"/>
      <c r="J37" s="456"/>
      <c r="K37" s="456"/>
      <c r="L37" s="456"/>
      <c r="M37" s="456"/>
      <c r="N37" s="456"/>
    </row>
    <row r="38" spans="2:14" s="62" customFormat="1" ht="14.25">
      <c r="B38" s="159"/>
      <c r="C38" s="458" t="s">
        <v>508</v>
      </c>
      <c r="D38" s="458"/>
      <c r="E38" s="457"/>
      <c r="F38" s="458"/>
      <c r="G38" s="458" t="s">
        <v>445</v>
      </c>
      <c r="I38" s="456"/>
      <c r="J38" s="456"/>
      <c r="K38" s="456"/>
      <c r="L38" s="456"/>
      <c r="M38" s="456"/>
      <c r="N38" s="456"/>
    </row>
    <row r="39" spans="2:14" s="62" customFormat="1" ht="14.25">
      <c r="B39" s="159"/>
      <c r="C39" s="458" t="s">
        <v>509</v>
      </c>
      <c r="D39" s="458"/>
      <c r="E39" s="457"/>
      <c r="F39" s="458"/>
      <c r="G39" s="458" t="s">
        <v>405</v>
      </c>
      <c r="I39" s="456"/>
      <c r="J39" s="456"/>
      <c r="K39" s="456"/>
      <c r="L39" s="456"/>
      <c r="M39" s="456"/>
      <c r="N39" s="456"/>
    </row>
    <row r="40" spans="2:14" s="62" customFormat="1" ht="14.25">
      <c r="B40" s="159"/>
      <c r="C40" s="458" t="s">
        <v>510</v>
      </c>
      <c r="D40" s="458"/>
      <c r="E40" s="457"/>
      <c r="F40" s="458"/>
      <c r="G40" s="458" t="s">
        <v>446</v>
      </c>
      <c r="I40" s="456"/>
      <c r="J40" s="456"/>
      <c r="K40" s="456"/>
      <c r="L40" s="456"/>
      <c r="M40" s="456"/>
      <c r="N40" s="456"/>
    </row>
    <row r="41" spans="2:14" s="62" customFormat="1" ht="14.25">
      <c r="B41" s="159"/>
      <c r="C41" s="458" t="s">
        <v>511</v>
      </c>
      <c r="D41" s="458"/>
      <c r="E41" s="457"/>
      <c r="F41" s="458"/>
      <c r="G41" s="458" t="s">
        <v>6</v>
      </c>
      <c r="I41" s="456"/>
      <c r="J41" s="456"/>
      <c r="K41" s="456"/>
      <c r="L41" s="456"/>
      <c r="M41" s="456"/>
      <c r="N41" s="456"/>
    </row>
    <row r="42" spans="2:14" s="62" customFormat="1" ht="14.25">
      <c r="B42" s="159"/>
      <c r="C42" s="458" t="s">
        <v>512</v>
      </c>
      <c r="D42" s="458"/>
      <c r="E42" s="457"/>
      <c r="F42" s="458"/>
      <c r="G42" s="458" t="s">
        <v>447</v>
      </c>
      <c r="I42" s="456"/>
      <c r="J42" s="456"/>
      <c r="K42" s="456"/>
      <c r="L42" s="456"/>
      <c r="M42" s="456"/>
      <c r="N42" s="456"/>
    </row>
    <row r="43" spans="2:14" s="62" customFormat="1" ht="14.25">
      <c r="B43" s="159"/>
      <c r="C43" s="458" t="s">
        <v>513</v>
      </c>
      <c r="D43" s="458"/>
      <c r="E43" s="457"/>
      <c r="F43" s="458"/>
      <c r="G43" s="458" t="s">
        <v>448</v>
      </c>
      <c r="I43" s="456"/>
      <c r="J43" s="456"/>
      <c r="K43" s="456"/>
      <c r="L43" s="456"/>
      <c r="M43" s="456"/>
      <c r="N43" s="456"/>
    </row>
    <row r="44" spans="2:14" s="62" customFormat="1" ht="14.25">
      <c r="B44" s="159"/>
      <c r="C44" s="458"/>
      <c r="D44" s="458"/>
      <c r="E44" s="457"/>
      <c r="F44" s="458"/>
      <c r="G44" s="458" t="s">
        <v>449</v>
      </c>
      <c r="I44" s="456"/>
      <c r="J44" s="456"/>
      <c r="K44" s="456"/>
      <c r="L44" s="456"/>
      <c r="M44" s="456"/>
      <c r="N44" s="456"/>
    </row>
    <row r="45" spans="2:14" s="62" customFormat="1" ht="14.25">
      <c r="B45" s="159"/>
      <c r="C45" s="458" t="s">
        <v>514</v>
      </c>
      <c r="D45" s="458"/>
      <c r="E45" s="457"/>
      <c r="F45" s="458"/>
      <c r="G45" s="458" t="s">
        <v>434</v>
      </c>
      <c r="H45" s="456"/>
      <c r="I45" s="456"/>
      <c r="J45" s="456"/>
      <c r="K45" s="456"/>
      <c r="L45" s="456"/>
      <c r="M45" s="456"/>
    </row>
    <row r="46" spans="2:14" s="62" customFormat="1" ht="14.25">
      <c r="B46" s="159"/>
      <c r="C46" s="458" t="s">
        <v>515</v>
      </c>
      <c r="D46" s="458"/>
      <c r="E46" s="457"/>
      <c r="F46" s="458"/>
      <c r="G46" s="458" t="s">
        <v>452</v>
      </c>
      <c r="H46" s="456"/>
      <c r="I46" s="456"/>
      <c r="J46" s="456"/>
      <c r="K46" s="456"/>
      <c r="L46" s="456"/>
      <c r="M46" s="456"/>
    </row>
    <row r="47" spans="2:14" s="62" customFormat="1" ht="14.25">
      <c r="B47" s="159"/>
      <c r="C47" s="458" t="s">
        <v>516</v>
      </c>
      <c r="D47" s="458"/>
      <c r="E47" s="457"/>
      <c r="F47" s="458"/>
      <c r="G47" s="458" t="s">
        <v>453</v>
      </c>
      <c r="H47" s="456"/>
      <c r="I47" s="456"/>
      <c r="J47" s="456"/>
      <c r="K47" s="456"/>
      <c r="L47" s="456"/>
      <c r="M47" s="456"/>
    </row>
    <row r="48" spans="2:14" s="62" customFormat="1" ht="14.25">
      <c r="B48" s="159"/>
      <c r="C48" s="458" t="s">
        <v>517</v>
      </c>
      <c r="D48" s="458"/>
      <c r="E48" s="457"/>
      <c r="F48" s="458"/>
      <c r="G48" s="458" t="s">
        <v>454</v>
      </c>
      <c r="H48" s="456"/>
      <c r="I48" s="456"/>
      <c r="J48" s="456"/>
      <c r="K48" s="456"/>
      <c r="L48" s="456"/>
      <c r="M48" s="456"/>
    </row>
    <row r="49" spans="2:14" s="62" customFormat="1" ht="14.25">
      <c r="B49" s="159"/>
      <c r="C49" s="458" t="s">
        <v>518</v>
      </c>
      <c r="D49" s="458"/>
      <c r="E49" s="457"/>
      <c r="F49" s="458"/>
      <c r="G49" s="458" t="s">
        <v>455</v>
      </c>
      <c r="H49" s="456"/>
      <c r="I49" s="456"/>
      <c r="J49" s="456"/>
      <c r="K49" s="456"/>
      <c r="L49" s="456"/>
      <c r="M49" s="456"/>
    </row>
    <row r="50" spans="2:14" s="62" customFormat="1" ht="14.25">
      <c r="B50" s="159"/>
      <c r="C50" s="458" t="s">
        <v>519</v>
      </c>
      <c r="D50" s="458"/>
      <c r="E50" s="457"/>
      <c r="F50" s="458"/>
      <c r="G50" s="458" t="s">
        <v>456</v>
      </c>
      <c r="H50" s="456"/>
      <c r="I50" s="456"/>
      <c r="J50" s="456"/>
      <c r="K50" s="456"/>
      <c r="L50" s="456"/>
      <c r="M50" s="456"/>
    </row>
    <row r="51" spans="2:14" s="62" customFormat="1" ht="14.25">
      <c r="B51" s="159"/>
      <c r="C51" s="458" t="s">
        <v>520</v>
      </c>
      <c r="D51" s="458"/>
      <c r="E51" s="457"/>
      <c r="F51" s="458"/>
      <c r="G51" s="458" t="s">
        <v>457</v>
      </c>
      <c r="H51" s="456"/>
      <c r="I51" s="456"/>
      <c r="J51" s="456"/>
      <c r="K51" s="456"/>
      <c r="L51" s="456"/>
      <c r="M51" s="456"/>
    </row>
    <row r="52" spans="2:14" s="62" customFormat="1" ht="14.25">
      <c r="B52" s="159"/>
      <c r="C52" s="458" t="s">
        <v>521</v>
      </c>
      <c r="D52" s="458"/>
      <c r="E52" s="457"/>
      <c r="F52" s="458"/>
      <c r="G52" s="458" t="s">
        <v>458</v>
      </c>
      <c r="H52" s="456"/>
      <c r="I52" s="456"/>
      <c r="J52" s="456"/>
      <c r="K52" s="456"/>
      <c r="L52" s="456"/>
      <c r="M52" s="456"/>
    </row>
    <row r="53" spans="2:14" s="62" customFormat="1" ht="14.25">
      <c r="B53" s="159"/>
      <c r="C53" s="458" t="s">
        <v>522</v>
      </c>
      <c r="D53" s="458"/>
      <c r="E53" s="457"/>
      <c r="F53" s="458"/>
      <c r="G53" s="458" t="s">
        <v>459</v>
      </c>
      <c r="H53" s="456"/>
      <c r="I53" s="456"/>
      <c r="J53" s="456"/>
      <c r="K53" s="456"/>
      <c r="L53" s="456"/>
      <c r="M53" s="456"/>
    </row>
    <row r="54" spans="2:14" s="62" customFormat="1" ht="14.25">
      <c r="B54" s="159"/>
      <c r="C54" s="458" t="s">
        <v>523</v>
      </c>
      <c r="D54" s="458"/>
      <c r="E54" s="457"/>
      <c r="F54" s="458"/>
      <c r="G54" s="458" t="s">
        <v>460</v>
      </c>
      <c r="H54" s="456"/>
      <c r="I54" s="456"/>
      <c r="J54" s="456"/>
      <c r="K54" s="456"/>
      <c r="L54" s="456"/>
      <c r="M54" s="456"/>
    </row>
    <row r="55" spans="2:14" s="62" customFormat="1" ht="14.25">
      <c r="B55" s="159"/>
      <c r="C55" s="458"/>
      <c r="D55" s="458"/>
      <c r="E55" s="457"/>
      <c r="F55" s="458"/>
      <c r="G55" s="458" t="s">
        <v>461</v>
      </c>
      <c r="H55" s="456"/>
      <c r="I55" s="456"/>
      <c r="J55" s="456"/>
      <c r="K55" s="456"/>
      <c r="L55" s="456"/>
      <c r="M55" s="456"/>
    </row>
    <row r="56" spans="2:14" s="62" customFormat="1" ht="14.25">
      <c r="B56" s="159"/>
      <c r="C56" s="458"/>
      <c r="D56" s="458"/>
      <c r="E56" s="457"/>
      <c r="F56" s="458"/>
      <c r="G56" s="458" t="s">
        <v>462</v>
      </c>
      <c r="H56" s="456"/>
      <c r="I56" s="456"/>
      <c r="J56" s="456"/>
      <c r="K56" s="456"/>
      <c r="L56" s="456"/>
      <c r="M56" s="456"/>
    </row>
    <row r="57" spans="2:14" s="62" customFormat="1" ht="14.25">
      <c r="B57" s="159"/>
      <c r="C57" s="458" t="s">
        <v>524</v>
      </c>
      <c r="D57" s="458"/>
      <c r="E57" s="457"/>
      <c r="F57" s="458"/>
      <c r="G57" s="458" t="s">
        <v>463</v>
      </c>
      <c r="H57" s="456"/>
      <c r="I57" s="456"/>
      <c r="J57" s="456"/>
      <c r="K57" s="456"/>
      <c r="L57" s="456"/>
      <c r="M57" s="456"/>
    </row>
    <row r="58" spans="2:14" s="62" customFormat="1" ht="14.25">
      <c r="B58" s="159"/>
      <c r="C58" s="458" t="s">
        <v>464</v>
      </c>
      <c r="D58" s="458"/>
      <c r="E58" s="457"/>
      <c r="F58" s="458"/>
      <c r="G58" s="458" t="s">
        <v>462</v>
      </c>
      <c r="H58" s="458"/>
      <c r="I58" s="458"/>
      <c r="J58" s="458"/>
      <c r="K58" s="458"/>
      <c r="L58" s="458"/>
      <c r="M58" s="458"/>
    </row>
    <row r="59" spans="2:14" s="62" customFormat="1" ht="14.25">
      <c r="B59" s="159"/>
      <c r="C59" s="458" t="s">
        <v>470</v>
      </c>
      <c r="D59" s="458"/>
      <c r="E59" s="457"/>
      <c r="F59" s="458"/>
      <c r="G59" s="458" t="s">
        <v>465</v>
      </c>
      <c r="H59" s="456"/>
      <c r="I59" s="456"/>
      <c r="J59" s="456"/>
      <c r="K59" s="456"/>
      <c r="L59" s="456"/>
      <c r="M59" s="456"/>
    </row>
    <row r="60" spans="2:14" s="62" customFormat="1" ht="14.25">
      <c r="B60" s="159"/>
      <c r="C60" s="458" t="s">
        <v>471</v>
      </c>
      <c r="D60" s="458"/>
      <c r="E60" s="457"/>
      <c r="F60" s="458"/>
      <c r="G60" s="458" t="s">
        <v>466</v>
      </c>
      <c r="H60" s="456"/>
      <c r="I60" s="456"/>
      <c r="J60" s="456"/>
      <c r="K60" s="456"/>
      <c r="L60" s="456"/>
      <c r="M60" s="456"/>
    </row>
    <row r="61" spans="2:14" s="62" customFormat="1" ht="14.25">
      <c r="B61" s="159"/>
      <c r="C61" s="458" t="s">
        <v>472</v>
      </c>
      <c r="D61" s="458"/>
      <c r="E61" s="457"/>
      <c r="F61" s="458"/>
      <c r="G61" s="458" t="s">
        <v>467</v>
      </c>
      <c r="H61" s="456"/>
      <c r="I61" s="456"/>
      <c r="J61" s="456"/>
      <c r="K61" s="456"/>
      <c r="L61" s="456"/>
      <c r="M61" s="456"/>
    </row>
    <row r="62" spans="2:14" s="62" customFormat="1" ht="14.25">
      <c r="B62" s="159"/>
      <c r="C62" s="458" t="s">
        <v>473</v>
      </c>
      <c r="D62" s="458"/>
      <c r="E62" s="457"/>
      <c r="F62" s="458"/>
      <c r="G62" s="458" t="s">
        <v>468</v>
      </c>
      <c r="H62" s="456"/>
      <c r="I62" s="456"/>
      <c r="J62" s="456"/>
      <c r="K62" s="456"/>
      <c r="L62" s="456"/>
      <c r="M62" s="456"/>
    </row>
    <row r="63" spans="2:14" s="62" customFormat="1" ht="14.25">
      <c r="B63" s="159"/>
      <c r="C63" s="458"/>
      <c r="D63" s="458"/>
      <c r="E63" s="457"/>
      <c r="F63" s="458"/>
      <c r="G63" s="458" t="s">
        <v>469</v>
      </c>
      <c r="H63" s="456"/>
      <c r="I63" s="456"/>
      <c r="J63" s="456"/>
      <c r="K63" s="456"/>
      <c r="L63" s="456"/>
      <c r="M63" s="456"/>
    </row>
    <row r="64" spans="2:14" s="62" customFormat="1" ht="14.25">
      <c r="B64" s="159"/>
      <c r="C64" s="458"/>
      <c r="D64" s="458"/>
      <c r="E64" s="457"/>
      <c r="F64" s="458"/>
      <c r="G64" s="458"/>
      <c r="H64" s="457"/>
      <c r="I64" s="456"/>
      <c r="J64" s="456"/>
      <c r="K64" s="456"/>
      <c r="L64" s="456"/>
      <c r="M64" s="456"/>
      <c r="N64" s="456"/>
    </row>
    <row r="65" spans="2:18" s="62" customFormat="1" ht="14.25">
      <c r="B65" s="159"/>
      <c r="C65" s="458" t="s">
        <v>361</v>
      </c>
      <c r="D65" s="458"/>
      <c r="E65" s="457"/>
      <c r="F65" s="458"/>
      <c r="G65" s="458"/>
      <c r="H65" s="457"/>
      <c r="I65" s="456"/>
      <c r="J65" s="456"/>
      <c r="K65" s="456"/>
      <c r="L65" s="456"/>
      <c r="M65" s="456"/>
      <c r="N65" s="456"/>
    </row>
    <row r="66" spans="2:18" s="62" customFormat="1" ht="14.25">
      <c r="B66" s="159"/>
      <c r="C66" s="456"/>
      <c r="D66" s="456"/>
      <c r="E66" s="456"/>
      <c r="F66" s="456"/>
      <c r="G66" s="456"/>
      <c r="H66" s="456"/>
      <c r="I66" s="456"/>
      <c r="J66" s="456"/>
      <c r="K66" s="456"/>
      <c r="L66" s="456"/>
      <c r="M66" s="456"/>
      <c r="N66" s="456"/>
    </row>
    <row r="67" spans="2:18" s="62" customFormat="1" ht="13.9" customHeight="1">
      <c r="B67" s="65" t="s">
        <v>73</v>
      </c>
      <c r="C67" s="61" t="s">
        <v>564</v>
      </c>
      <c r="D67" s="61"/>
      <c r="E67" s="61"/>
      <c r="Q67" s="61"/>
      <c r="R67" s="61"/>
    </row>
    <row r="68" spans="2:18" s="62" customFormat="1" ht="13.9" customHeight="1">
      <c r="B68" s="65"/>
      <c r="C68" s="586" t="s">
        <v>541</v>
      </c>
      <c r="D68" s="586"/>
      <c r="E68" s="586"/>
      <c r="F68" s="586"/>
      <c r="G68" s="586"/>
      <c r="H68" s="586"/>
      <c r="I68" s="586"/>
      <c r="J68" s="586"/>
      <c r="K68" s="586"/>
      <c r="L68" s="586"/>
      <c r="M68" s="586"/>
      <c r="N68" s="586"/>
      <c r="Q68" s="61"/>
    </row>
    <row r="69" spans="2:18" s="62" customFormat="1" ht="13.9" customHeight="1">
      <c r="B69" s="65"/>
      <c r="C69" s="586"/>
      <c r="D69" s="586"/>
      <c r="E69" s="586"/>
      <c r="F69" s="586"/>
      <c r="G69" s="586"/>
      <c r="H69" s="586"/>
      <c r="I69" s="586"/>
      <c r="J69" s="586"/>
      <c r="K69" s="586"/>
      <c r="L69" s="586"/>
      <c r="M69" s="586"/>
      <c r="N69" s="586"/>
      <c r="Q69" s="61"/>
    </row>
    <row r="70" spans="2:18" s="62" customFormat="1" ht="13.9" customHeight="1">
      <c r="B70" s="65"/>
      <c r="C70" s="69"/>
      <c r="D70" s="69"/>
      <c r="E70" s="69"/>
      <c r="F70" s="69"/>
      <c r="G70" s="69"/>
      <c r="H70" s="69"/>
      <c r="I70" s="69"/>
      <c r="J70" s="69"/>
      <c r="K70" s="69"/>
      <c r="L70" s="69"/>
      <c r="M70" s="69"/>
      <c r="N70" s="69"/>
      <c r="Q70" s="61"/>
    </row>
    <row r="71" spans="2:18" s="62" customFormat="1" ht="13.9" customHeight="1">
      <c r="B71" s="65" t="s">
        <v>36</v>
      </c>
      <c r="C71" s="61" t="s">
        <v>37</v>
      </c>
      <c r="D71" s="61"/>
      <c r="E71" s="61"/>
      <c r="Q71" s="61"/>
      <c r="R71" s="61"/>
    </row>
    <row r="72" spans="2:18" s="62" customFormat="1" ht="13.9" customHeight="1">
      <c r="B72" s="65"/>
      <c r="C72" s="587" t="s">
        <v>38</v>
      </c>
      <c r="D72" s="587"/>
      <c r="E72" s="587"/>
      <c r="F72" s="587"/>
      <c r="G72" s="587"/>
      <c r="H72" s="587"/>
      <c r="I72" s="587"/>
      <c r="J72" s="587"/>
      <c r="K72" s="587"/>
      <c r="L72" s="587"/>
      <c r="M72" s="587"/>
      <c r="N72" s="587"/>
      <c r="Q72" s="61"/>
    </row>
    <row r="73" spans="2:18" s="62" customFormat="1" ht="13.9" customHeight="1">
      <c r="B73" s="65"/>
      <c r="Q73" s="61"/>
    </row>
    <row r="74" spans="2:18" s="62" customFormat="1" ht="13.9" customHeight="1">
      <c r="B74" s="65" t="s">
        <v>39</v>
      </c>
      <c r="C74" s="61" t="s">
        <v>40</v>
      </c>
      <c r="D74" s="61"/>
      <c r="E74" s="61"/>
      <c r="Q74" s="61"/>
      <c r="R74" s="61"/>
    </row>
    <row r="75" spans="2:18" s="62" customFormat="1" ht="14.25">
      <c r="B75" s="159"/>
      <c r="C75" s="592" t="s">
        <v>66</v>
      </c>
      <c r="D75" s="592"/>
      <c r="E75" s="592"/>
      <c r="F75" s="592"/>
      <c r="G75" s="592"/>
      <c r="H75" s="592"/>
      <c r="I75" s="592"/>
      <c r="J75" s="592"/>
      <c r="K75" s="592"/>
      <c r="L75" s="592"/>
      <c r="M75" s="592"/>
      <c r="N75" s="592"/>
    </row>
    <row r="76" spans="2:18" s="62" customFormat="1" ht="14.25">
      <c r="B76" s="159"/>
      <c r="C76" s="592"/>
      <c r="D76" s="592"/>
      <c r="E76" s="592"/>
      <c r="F76" s="592"/>
      <c r="G76" s="592"/>
      <c r="H76" s="592"/>
      <c r="I76" s="592"/>
      <c r="J76" s="592"/>
      <c r="K76" s="592"/>
      <c r="L76" s="592"/>
      <c r="M76" s="592"/>
      <c r="N76" s="592"/>
    </row>
    <row r="77" spans="2:18" s="62" customFormat="1" ht="14.25">
      <c r="B77" s="159"/>
      <c r="C77" s="593"/>
      <c r="D77" s="593"/>
      <c r="E77" s="593"/>
      <c r="F77" s="593"/>
      <c r="G77" s="593"/>
      <c r="H77" s="593"/>
      <c r="I77" s="593"/>
      <c r="J77" s="593"/>
      <c r="K77" s="593"/>
      <c r="L77" s="593"/>
      <c r="M77" s="593"/>
      <c r="N77" s="593"/>
    </row>
    <row r="78" spans="2:18" s="62" customFormat="1" ht="15">
      <c r="B78" s="159"/>
      <c r="C78" s="564"/>
      <c r="D78" s="564"/>
      <c r="E78" s="564"/>
      <c r="F78" s="564"/>
      <c r="G78" s="564"/>
      <c r="H78" s="564"/>
      <c r="I78" s="564"/>
      <c r="J78" s="564"/>
      <c r="K78" s="564"/>
      <c r="L78" s="564"/>
      <c r="M78" s="564"/>
      <c r="N78" s="564"/>
    </row>
    <row r="79" spans="2:18" s="62" customFormat="1" ht="15" customHeight="1">
      <c r="B79" s="65" t="s">
        <v>41</v>
      </c>
      <c r="C79" s="61" t="s">
        <v>42</v>
      </c>
      <c r="D79" s="61"/>
      <c r="E79" s="61"/>
      <c r="Q79" s="61"/>
      <c r="R79" s="61"/>
    </row>
    <row r="80" spans="2:18" s="62" customFormat="1" ht="28.5" customHeight="1">
      <c r="B80" s="65"/>
      <c r="C80" s="586" t="s">
        <v>535</v>
      </c>
      <c r="D80" s="586"/>
      <c r="E80" s="586"/>
      <c r="F80" s="586"/>
      <c r="G80" s="586"/>
      <c r="H80" s="586"/>
      <c r="I80" s="586"/>
      <c r="J80" s="586"/>
      <c r="K80" s="586"/>
      <c r="L80" s="586"/>
      <c r="M80" s="586"/>
      <c r="N80" s="586"/>
      <c r="Q80" s="61"/>
    </row>
    <row r="81" spans="2:20" s="62" customFormat="1" ht="15">
      <c r="B81" s="65"/>
      <c r="C81" s="586"/>
      <c r="D81" s="586"/>
      <c r="E81" s="586"/>
      <c r="F81" s="586"/>
      <c r="G81" s="586"/>
      <c r="H81" s="586"/>
      <c r="I81" s="586"/>
      <c r="J81" s="586"/>
      <c r="K81" s="586"/>
      <c r="L81" s="586"/>
      <c r="M81" s="586"/>
      <c r="N81" s="586"/>
      <c r="Q81" s="61"/>
    </row>
    <row r="82" spans="2:20" s="62" customFormat="1" ht="15" customHeight="1">
      <c r="B82" s="65"/>
      <c r="Q82" s="61"/>
    </row>
    <row r="83" spans="2:20" s="62" customFormat="1" ht="15">
      <c r="B83" s="66" t="s">
        <v>43</v>
      </c>
      <c r="C83" s="61" t="s">
        <v>44</v>
      </c>
      <c r="D83" s="61"/>
      <c r="E83" s="61"/>
      <c r="Q83" s="61"/>
      <c r="R83" s="61"/>
    </row>
    <row r="84" spans="2:20" s="62" customFormat="1" ht="15">
      <c r="B84" s="65"/>
      <c r="C84" s="586" t="s">
        <v>474</v>
      </c>
      <c r="D84" s="586"/>
      <c r="E84" s="586"/>
      <c r="F84" s="586"/>
      <c r="G84" s="586"/>
      <c r="H84" s="586"/>
      <c r="I84" s="586"/>
      <c r="J84" s="586"/>
      <c r="K84" s="586"/>
      <c r="L84" s="586"/>
      <c r="M84" s="586"/>
      <c r="N84" s="586"/>
      <c r="Q84" s="61"/>
    </row>
    <row r="85" spans="2:20" s="62" customFormat="1" ht="15">
      <c r="B85" s="65"/>
      <c r="C85" s="586"/>
      <c r="D85" s="586"/>
      <c r="E85" s="586"/>
      <c r="F85" s="586"/>
      <c r="G85" s="586"/>
      <c r="H85" s="586"/>
      <c r="I85" s="586"/>
      <c r="J85" s="586"/>
      <c r="K85" s="586"/>
      <c r="L85" s="586"/>
      <c r="M85" s="586"/>
      <c r="N85" s="586"/>
      <c r="Q85" s="61"/>
    </row>
    <row r="86" spans="2:20" s="62" customFormat="1" ht="15">
      <c r="B86" s="65"/>
      <c r="Q86" s="61"/>
    </row>
    <row r="87" spans="2:20" s="62" customFormat="1" ht="13.9" customHeight="1">
      <c r="B87" s="65" t="s">
        <v>45</v>
      </c>
      <c r="C87" s="61" t="s">
        <v>46</v>
      </c>
      <c r="D87" s="61"/>
      <c r="E87" s="61"/>
      <c r="Q87" s="63"/>
      <c r="R87" s="61"/>
    </row>
    <row r="88" spans="2:20" s="62" customFormat="1" ht="13.9" customHeight="1">
      <c r="B88" s="65"/>
      <c r="C88" s="587" t="s">
        <v>74</v>
      </c>
      <c r="D88" s="587"/>
      <c r="E88" s="587"/>
      <c r="F88" s="587"/>
      <c r="G88" s="587"/>
      <c r="H88" s="587"/>
      <c r="I88" s="587"/>
      <c r="J88" s="587"/>
      <c r="K88" s="587"/>
      <c r="L88" s="587"/>
      <c r="M88" s="587"/>
      <c r="N88" s="587"/>
      <c r="Q88" s="61"/>
    </row>
    <row r="89" spans="2:20" s="62" customFormat="1" ht="15">
      <c r="B89" s="65"/>
      <c r="C89" s="64"/>
      <c r="D89" s="64"/>
      <c r="E89" s="64"/>
      <c r="Q89" s="61"/>
    </row>
    <row r="90" spans="2:20" s="62" customFormat="1" ht="15">
      <c r="B90" s="65" t="s">
        <v>47</v>
      </c>
      <c r="C90" s="61" t="s">
        <v>48</v>
      </c>
      <c r="D90" s="61"/>
      <c r="E90" s="61"/>
      <c r="Q90" s="61"/>
      <c r="R90" s="61"/>
    </row>
    <row r="91" spans="2:20" s="62" customFormat="1" ht="14.25">
      <c r="B91" s="159"/>
      <c r="H91" s="159"/>
      <c r="I91" s="159" t="s">
        <v>49</v>
      </c>
      <c r="J91" s="159"/>
      <c r="L91" s="159"/>
      <c r="M91" s="159" t="s">
        <v>50</v>
      </c>
      <c r="N91" s="159"/>
    </row>
    <row r="92" spans="2:20" s="62" customFormat="1" ht="14.25">
      <c r="B92" s="159"/>
      <c r="H92" s="159"/>
      <c r="I92" s="159" t="s">
        <v>166</v>
      </c>
      <c r="J92" s="136"/>
      <c r="L92" s="159"/>
      <c r="M92" s="159" t="s">
        <v>542</v>
      </c>
      <c r="N92" s="159"/>
    </row>
    <row r="93" spans="2:20" s="62" customFormat="1" ht="14.25">
      <c r="B93" s="159"/>
      <c r="H93" s="565" t="s">
        <v>390</v>
      </c>
      <c r="I93" s="267"/>
      <c r="J93" s="565" t="s">
        <v>388</v>
      </c>
      <c r="K93" s="268"/>
      <c r="L93" s="267" t="str">
        <f>H93</f>
        <v>30 June 2010</v>
      </c>
      <c r="M93" s="240"/>
      <c r="N93" s="159" t="str">
        <f>J93</f>
        <v>30 June 2009</v>
      </c>
    </row>
    <row r="94" spans="2:20" s="62" customFormat="1" ht="15" customHeight="1">
      <c r="B94" s="65"/>
      <c r="C94" s="67"/>
      <c r="D94" s="67"/>
      <c r="E94" s="67"/>
      <c r="H94" s="269" t="s">
        <v>5</v>
      </c>
      <c r="I94" s="269"/>
      <c r="J94" s="269" t="s">
        <v>5</v>
      </c>
      <c r="K94" s="270"/>
      <c r="L94" s="269" t="s">
        <v>5</v>
      </c>
      <c r="M94" s="196"/>
      <c r="N94" s="261" t="s">
        <v>5</v>
      </c>
      <c r="Q94" s="61"/>
      <c r="R94" s="67"/>
      <c r="T94" s="68"/>
    </row>
    <row r="95" spans="2:20" s="62" customFormat="1" ht="15">
      <c r="B95" s="65"/>
      <c r="C95" s="549" t="s">
        <v>168</v>
      </c>
      <c r="D95" s="124"/>
      <c r="E95" s="125"/>
      <c r="H95" s="269"/>
      <c r="I95" s="269"/>
      <c r="J95" s="269"/>
      <c r="K95" s="271"/>
      <c r="L95" s="269"/>
      <c r="M95" s="196"/>
      <c r="N95" s="261"/>
      <c r="Q95" s="61"/>
      <c r="R95" s="67"/>
      <c r="T95" s="68"/>
    </row>
    <row r="96" spans="2:20" s="62" customFormat="1" ht="15">
      <c r="B96" s="65"/>
      <c r="C96" s="58" t="s">
        <v>543</v>
      </c>
      <c r="D96" s="58"/>
      <c r="E96" s="126"/>
      <c r="F96" s="58"/>
      <c r="G96" s="58"/>
      <c r="H96" s="440">
        <f>[1]PL!E21</f>
        <v>0</v>
      </c>
      <c r="I96" s="272"/>
      <c r="J96" s="273" t="s">
        <v>153</v>
      </c>
      <c r="K96" s="272"/>
      <c r="L96" s="272" t="str">
        <f>J96</f>
        <v>-</v>
      </c>
      <c r="M96" s="198"/>
      <c r="N96" s="264" t="s">
        <v>153</v>
      </c>
      <c r="Q96" s="61"/>
      <c r="R96" s="69"/>
    </row>
    <row r="97" spans="2:18" s="62" customFormat="1" ht="15">
      <c r="B97" s="65"/>
      <c r="C97" s="58" t="s">
        <v>221</v>
      </c>
      <c r="D97" s="58"/>
      <c r="E97" s="126"/>
      <c r="F97" s="58"/>
      <c r="G97" s="58"/>
      <c r="H97" s="440"/>
      <c r="I97" s="272">
        <f>I96</f>
        <v>0</v>
      </c>
      <c r="J97" s="272"/>
      <c r="K97" s="272">
        <f>K96</f>
        <v>0</v>
      </c>
      <c r="L97" s="446"/>
      <c r="M97" s="198">
        <f>M96</f>
        <v>0</v>
      </c>
      <c r="N97" s="265"/>
      <c r="Q97" s="61"/>
      <c r="R97" s="69"/>
    </row>
    <row r="98" spans="2:18" s="62" customFormat="1" ht="15">
      <c r="B98" s="65"/>
      <c r="C98" s="58" t="s">
        <v>220</v>
      </c>
      <c r="D98" s="58"/>
      <c r="E98" s="126"/>
      <c r="F98" s="58"/>
      <c r="G98" s="58"/>
      <c r="H98" s="441">
        <f ca="1">('Detailed PL'!C9+'Detailed PL'!G9)/1000</f>
        <v>282.702</v>
      </c>
      <c r="I98" s="274"/>
      <c r="J98" s="522">
        <v>2314.9516800000001</v>
      </c>
      <c r="K98" s="271"/>
      <c r="L98" s="441">
        <f>H98+62+1</f>
        <v>345.702</v>
      </c>
      <c r="M98" s="199"/>
      <c r="N98" s="522">
        <v>4971.9516800000001</v>
      </c>
      <c r="Q98" s="61"/>
      <c r="R98" s="69"/>
    </row>
    <row r="99" spans="2:18" s="62" customFormat="1" ht="15">
      <c r="B99" s="65"/>
      <c r="C99" s="58" t="s">
        <v>167</v>
      </c>
      <c r="D99" s="58"/>
      <c r="E99" s="58"/>
      <c r="F99" s="58"/>
      <c r="G99" s="58"/>
      <c r="H99" s="274">
        <f ca="1">(74780+'Detailed PL'!H9)/1000</f>
        <v>1557.8994499999999</v>
      </c>
      <c r="I99" s="274"/>
      <c r="J99" s="523">
        <v>3.87</v>
      </c>
      <c r="K99" s="271"/>
      <c r="L99" s="274">
        <f>H99+4122</f>
        <v>5679.8994499999999</v>
      </c>
      <c r="M99" s="199"/>
      <c r="N99" s="523">
        <v>135.87</v>
      </c>
      <c r="Q99" s="61"/>
      <c r="R99" s="69"/>
    </row>
    <row r="100" spans="2:18">
      <c r="B100" s="144"/>
      <c r="C100" s="58" t="s">
        <v>169</v>
      </c>
      <c r="H100" s="442">
        <f ca="1">SUM('Detailed PL'!D9+'Detailed PL'!F9)/1000</f>
        <v>219.76663000000002</v>
      </c>
      <c r="I100" s="271"/>
      <c r="J100" s="524">
        <v>451.64380999999992</v>
      </c>
      <c r="K100" s="271"/>
      <c r="L100" s="442">
        <f>H100+1093</f>
        <v>1312.7666300000001</v>
      </c>
      <c r="M100" s="197"/>
      <c r="N100" s="524">
        <v>704.64380999999992</v>
      </c>
    </row>
    <row r="101" spans="2:18" s="62" customFormat="1" ht="15">
      <c r="B101" s="65"/>
      <c r="C101" s="58" t="s">
        <v>544</v>
      </c>
      <c r="D101" s="58"/>
      <c r="E101" s="126"/>
      <c r="F101" s="58"/>
      <c r="G101" s="58"/>
      <c r="H101" s="274">
        <f ca="1">SUM(H96:H100)</f>
        <v>2060.3680799999997</v>
      </c>
      <c r="I101" s="274">
        <f>SUM(I96:I100)</f>
        <v>0</v>
      </c>
      <c r="J101" s="523">
        <v>2770.46549</v>
      </c>
      <c r="K101" s="274"/>
      <c r="L101" s="274">
        <f>SUM(L96:L100)</f>
        <v>7338.3680800000002</v>
      </c>
      <c r="M101" s="199">
        <f>SUM(M96:M100)</f>
        <v>0</v>
      </c>
      <c r="N101" s="523">
        <v>5812.4654899999996</v>
      </c>
      <c r="Q101" s="61"/>
      <c r="R101" s="70"/>
    </row>
    <row r="102" spans="2:18" s="62" customFormat="1" ht="15">
      <c r="B102" s="65"/>
      <c r="C102" s="58" t="s">
        <v>170</v>
      </c>
      <c r="D102" s="58"/>
      <c r="E102" s="126"/>
      <c r="F102" s="58"/>
      <c r="G102" s="58"/>
      <c r="H102" s="274">
        <f ca="1">SUM('Detailed PL'!J7)/1000</f>
        <v>-158.15369000000001</v>
      </c>
      <c r="I102" s="274"/>
      <c r="J102" s="523">
        <v>-340.68083999999999</v>
      </c>
      <c r="K102" s="271"/>
      <c r="L102" s="274">
        <f>H102-894</f>
        <v>-1052.1536900000001</v>
      </c>
      <c r="M102" s="199"/>
      <c r="N102" s="523">
        <v>-1295.68084</v>
      </c>
      <c r="P102" s="260" t="e">
        <f>#REF!</f>
        <v>#REF!</v>
      </c>
      <c r="Q102" s="61"/>
      <c r="R102" s="70"/>
    </row>
    <row r="103" spans="2:18" s="62" customFormat="1" ht="15.75" thickBot="1">
      <c r="B103" s="65"/>
      <c r="C103" s="58" t="s">
        <v>171</v>
      </c>
      <c r="D103" s="58"/>
      <c r="E103" s="70"/>
      <c r="H103" s="276">
        <f>H101+H102</f>
        <v>1902.2143899999996</v>
      </c>
      <c r="I103" s="276">
        <f>I101+I102</f>
        <v>0</v>
      </c>
      <c r="J103" s="525">
        <v>2429.7846500000001</v>
      </c>
      <c r="K103" s="276"/>
      <c r="L103" s="276">
        <f>L101+L102</f>
        <v>6286.2143900000001</v>
      </c>
      <c r="M103" s="200">
        <f>M101+M102</f>
        <v>0</v>
      </c>
      <c r="N103" s="525">
        <v>4516</v>
      </c>
      <c r="P103" s="260">
        <f>H103*1000</f>
        <v>1902214.3899999997</v>
      </c>
      <c r="Q103" s="61"/>
      <c r="R103" s="70"/>
    </row>
    <row r="104" spans="2:18" s="62" customFormat="1" ht="15">
      <c r="B104" s="65"/>
      <c r="C104" s="58"/>
      <c r="D104" s="58"/>
      <c r="E104" s="70"/>
      <c r="H104" s="277"/>
      <c r="I104" s="277"/>
      <c r="J104" s="447"/>
      <c r="K104" s="277"/>
      <c r="L104" s="277"/>
      <c r="M104" s="201"/>
      <c r="N104" s="447"/>
      <c r="P104" s="260"/>
      <c r="Q104" s="61"/>
      <c r="R104" s="70"/>
    </row>
    <row r="105" spans="2:18" s="62" customFormat="1" ht="15">
      <c r="B105" s="65"/>
      <c r="C105" s="61" t="s">
        <v>172</v>
      </c>
      <c r="D105" s="61"/>
      <c r="E105" s="127"/>
      <c r="F105" s="61"/>
      <c r="G105" s="61"/>
      <c r="H105" s="277"/>
      <c r="I105" s="277"/>
      <c r="J105" s="447"/>
      <c r="K105" s="277"/>
      <c r="L105" s="277"/>
      <c r="M105" s="201"/>
      <c r="N105" s="262"/>
      <c r="Q105" s="61"/>
      <c r="R105" s="70"/>
    </row>
    <row r="106" spans="2:18" s="62" customFormat="1" ht="15">
      <c r="B106" s="65"/>
      <c r="C106" s="58" t="str">
        <f>C96</f>
        <v>Investment Holding</v>
      </c>
      <c r="D106" s="58"/>
      <c r="H106" s="275">
        <f ca="1">'Detailed PL'!B95/1000</f>
        <v>-56.061830000000008</v>
      </c>
      <c r="I106" s="278"/>
      <c r="J106" s="444">
        <v>-305.99284</v>
      </c>
      <c r="K106" s="279"/>
      <c r="L106" s="277">
        <f>H106-292</f>
        <v>-348.06182999999999</v>
      </c>
      <c r="M106" s="202"/>
      <c r="N106" s="447">
        <v>-402.32724000000002</v>
      </c>
      <c r="P106" s="260" t="e">
        <f>P102-P103</f>
        <v>#REF!</v>
      </c>
      <c r="Q106" s="61"/>
    </row>
    <row r="107" spans="2:18" s="62" customFormat="1" ht="15">
      <c r="B107" s="65"/>
      <c r="C107" s="58" t="s">
        <v>223</v>
      </c>
      <c r="D107" s="58"/>
      <c r="E107" s="126"/>
      <c r="F107" s="58"/>
      <c r="G107" s="58"/>
      <c r="H107" s="443"/>
      <c r="I107" s="278"/>
      <c r="J107" s="527"/>
      <c r="K107" s="279"/>
      <c r="L107" s="278"/>
      <c r="M107" s="202"/>
      <c r="N107" s="526"/>
      <c r="Q107" s="61"/>
    </row>
    <row r="108" spans="2:18" s="62" customFormat="1" ht="15">
      <c r="B108" s="65"/>
      <c r="C108" s="58" t="s">
        <v>220</v>
      </c>
      <c r="D108" s="58"/>
      <c r="E108" s="126"/>
      <c r="F108" s="58"/>
      <c r="G108" s="58"/>
      <c r="H108" s="275">
        <f ca="1">SUM('Detailed PL'!C95+'Detailed PL'!G95)/1000</f>
        <v>-144.24817999999999</v>
      </c>
      <c r="I108" s="278"/>
      <c r="J108" s="444">
        <v>-26.223540000000039</v>
      </c>
      <c r="K108" s="279"/>
      <c r="L108" s="277">
        <f>H108-622</f>
        <v>-766.24818000000005</v>
      </c>
      <c r="M108" s="202"/>
      <c r="N108" s="447">
        <v>-502.79768999999993</v>
      </c>
      <c r="Q108" s="61"/>
    </row>
    <row r="109" spans="2:18" s="62" customFormat="1" ht="15">
      <c r="B109" s="65"/>
      <c r="C109" s="58" t="s">
        <v>167</v>
      </c>
      <c r="D109" s="58"/>
      <c r="E109" s="58"/>
      <c r="F109" s="58"/>
      <c r="G109" s="58"/>
      <c r="H109" s="275">
        <f ca="1">SUM('Detailed PL'!E95+'Detailed PL'!H95)/1000</f>
        <v>-86.071989999999943</v>
      </c>
      <c r="I109" s="278"/>
      <c r="J109" s="444">
        <v>-73.145380000000003</v>
      </c>
      <c r="K109" s="279"/>
      <c r="L109" s="277">
        <f>H109+154</f>
        <v>67.928010000000057</v>
      </c>
      <c r="M109" s="202"/>
      <c r="N109" s="447">
        <v>-89.649200000000008</v>
      </c>
      <c r="Q109" s="61"/>
    </row>
    <row r="110" spans="2:18" s="62" customFormat="1" ht="15">
      <c r="B110" s="65"/>
      <c r="C110" s="58" t="s">
        <v>169</v>
      </c>
      <c r="D110" s="58"/>
      <c r="E110" s="58"/>
      <c r="F110" s="58"/>
      <c r="G110" s="58"/>
      <c r="H110" s="275">
        <f ca="1">(SUM('Detailed PL'!D95+'Detailed PL'!F95)/1000)-1</f>
        <v>-277.07677000000001</v>
      </c>
      <c r="I110" s="278"/>
      <c r="J110" s="444">
        <v>-144.19511000000003</v>
      </c>
      <c r="K110" s="279"/>
      <c r="L110" s="277">
        <f>H110-228+1</f>
        <v>-504.07677000000001</v>
      </c>
      <c r="M110" s="202"/>
      <c r="N110" s="447">
        <v>-374.82177000000001</v>
      </c>
      <c r="Q110" s="61"/>
    </row>
    <row r="111" spans="2:18" s="62" customFormat="1" ht="15">
      <c r="B111" s="65"/>
      <c r="C111" s="58" t="s">
        <v>173</v>
      </c>
      <c r="D111" s="58"/>
      <c r="H111" s="444">
        <v>0</v>
      </c>
      <c r="I111" s="202"/>
      <c r="J111" s="444">
        <v>0</v>
      </c>
      <c r="K111" s="241"/>
      <c r="L111" s="447">
        <f>H111</f>
        <v>0</v>
      </c>
      <c r="M111" s="202"/>
      <c r="N111" s="447">
        <v>0</v>
      </c>
      <c r="P111" s="62">
        <f>2814-321</f>
        <v>2493</v>
      </c>
      <c r="Q111" s="61"/>
    </row>
    <row r="112" spans="2:18" s="62" customFormat="1" ht="15.75" thickBot="1">
      <c r="B112" s="65"/>
      <c r="C112" s="58" t="s">
        <v>174</v>
      </c>
      <c r="D112" s="58"/>
      <c r="H112" s="445">
        <f>SUM(H106:H111)</f>
        <v>-563.45876999999996</v>
      </c>
      <c r="I112" s="445">
        <f>SUM(I106:I111)</f>
        <v>0</v>
      </c>
      <c r="J112" s="528">
        <v>-549.55687</v>
      </c>
      <c r="K112" s="445"/>
      <c r="L112" s="445">
        <f>SUM(L106:L111)</f>
        <v>-1550.4587700000002</v>
      </c>
      <c r="M112" s="203">
        <f>SUM(M106:M111)</f>
        <v>0</v>
      </c>
      <c r="N112" s="263">
        <f>SUM(N106:N111)</f>
        <v>-1369.5959</v>
      </c>
      <c r="Q112" s="61"/>
      <c r="R112" s="70"/>
    </row>
    <row r="113" spans="2:18" s="62" customFormat="1" ht="15.75" thickTop="1">
      <c r="B113" s="65"/>
      <c r="C113" s="58"/>
      <c r="D113" s="58"/>
      <c r="H113" s="201"/>
      <c r="I113" s="201"/>
      <c r="J113" s="201"/>
      <c r="K113" s="201"/>
      <c r="L113" s="201"/>
      <c r="M113" s="201"/>
      <c r="N113" s="201"/>
      <c r="Q113" s="61"/>
      <c r="R113" s="70"/>
    </row>
    <row r="114" spans="2:18" s="62" customFormat="1" ht="15">
      <c r="B114" s="65" t="s">
        <v>51</v>
      </c>
      <c r="C114" s="61" t="s">
        <v>278</v>
      </c>
      <c r="D114" s="61"/>
      <c r="E114" s="61"/>
      <c r="H114" s="171"/>
      <c r="L114" s="171"/>
      <c r="Q114" s="61"/>
    </row>
    <row r="115" spans="2:18" s="62" customFormat="1" ht="15">
      <c r="B115" s="159"/>
      <c r="C115" s="586" t="s">
        <v>380</v>
      </c>
      <c r="D115" s="586"/>
      <c r="E115" s="586"/>
      <c r="F115" s="586"/>
      <c r="G115" s="586"/>
      <c r="H115" s="586"/>
      <c r="I115" s="586"/>
      <c r="J115" s="586"/>
      <c r="K115" s="586"/>
      <c r="L115" s="586"/>
      <c r="M115" s="586"/>
      <c r="N115" s="586"/>
      <c r="Q115" s="61"/>
    </row>
    <row r="116" spans="2:18" s="62" customFormat="1" ht="15">
      <c r="B116" s="159"/>
      <c r="C116" s="586"/>
      <c r="D116" s="586"/>
      <c r="E116" s="586"/>
      <c r="F116" s="586"/>
      <c r="G116" s="586"/>
      <c r="H116" s="586"/>
      <c r="I116" s="586"/>
      <c r="J116" s="586"/>
      <c r="K116" s="586"/>
      <c r="L116" s="586"/>
      <c r="M116" s="586"/>
      <c r="N116" s="586"/>
      <c r="Q116" s="61"/>
    </row>
    <row r="117" spans="2:18" s="62" customFormat="1" ht="15">
      <c r="B117" s="159"/>
      <c r="Q117" s="61"/>
      <c r="R117" s="61"/>
    </row>
    <row r="118" spans="2:18" s="62" customFormat="1" ht="15">
      <c r="B118" s="65" t="s">
        <v>52</v>
      </c>
      <c r="C118" s="61" t="s">
        <v>53</v>
      </c>
      <c r="D118" s="61"/>
      <c r="E118" s="61"/>
    </row>
    <row r="119" spans="2:18" s="62" customFormat="1" ht="15">
      <c r="B119" s="159"/>
      <c r="C119" s="586" t="s">
        <v>567</v>
      </c>
      <c r="D119" s="586"/>
      <c r="E119" s="586"/>
      <c r="F119" s="586"/>
      <c r="G119" s="586"/>
      <c r="H119" s="586"/>
      <c r="I119" s="586"/>
      <c r="J119" s="586"/>
      <c r="K119" s="586"/>
      <c r="L119" s="586"/>
      <c r="M119" s="586"/>
      <c r="N119" s="586"/>
      <c r="Q119" s="61"/>
    </row>
    <row r="120" spans="2:18" s="62" customFormat="1" ht="14.25">
      <c r="B120" s="159"/>
      <c r="C120" s="586"/>
      <c r="D120" s="586"/>
      <c r="E120" s="586"/>
      <c r="F120" s="586"/>
      <c r="G120" s="586"/>
      <c r="H120" s="586"/>
      <c r="I120" s="586"/>
      <c r="J120" s="586"/>
      <c r="K120" s="586"/>
      <c r="L120" s="586"/>
      <c r="M120" s="586"/>
      <c r="N120" s="586"/>
    </row>
    <row r="121" spans="2:18" s="62" customFormat="1" ht="14.25">
      <c r="B121" s="159"/>
      <c r="E121" s="64"/>
    </row>
    <row r="122" spans="2:18" s="62" customFormat="1" ht="15">
      <c r="B122" s="65" t="s">
        <v>54</v>
      </c>
      <c r="C122" s="61" t="s">
        <v>55</v>
      </c>
      <c r="D122" s="61"/>
      <c r="E122" s="61"/>
    </row>
    <row r="123" spans="2:18" s="73" customFormat="1" ht="15">
      <c r="B123" s="130"/>
      <c r="C123" s="592" t="s">
        <v>525</v>
      </c>
      <c r="D123" s="593"/>
      <c r="E123" s="593"/>
      <c r="F123" s="593"/>
      <c r="G123" s="593"/>
      <c r="H123" s="593"/>
      <c r="I123" s="593"/>
      <c r="J123" s="593"/>
      <c r="K123" s="593"/>
      <c r="L123" s="593"/>
      <c r="M123" s="593"/>
      <c r="N123" s="593"/>
      <c r="O123" s="72"/>
    </row>
    <row r="124" spans="2:18" s="73" customFormat="1" ht="15">
      <c r="B124" s="130"/>
      <c r="C124" s="593"/>
      <c r="D124" s="593"/>
      <c r="E124" s="593"/>
      <c r="F124" s="593"/>
      <c r="G124" s="593"/>
      <c r="H124" s="593"/>
      <c r="I124" s="593"/>
      <c r="J124" s="593"/>
      <c r="K124" s="593"/>
      <c r="L124" s="593"/>
      <c r="M124" s="593"/>
      <c r="N124" s="593"/>
      <c r="O124" s="72"/>
    </row>
    <row r="125" spans="2:18" s="73" customFormat="1" ht="15">
      <c r="B125" s="130"/>
      <c r="C125" s="586" t="s">
        <v>537</v>
      </c>
      <c r="D125" s="586"/>
      <c r="E125" s="586"/>
      <c r="F125" s="586"/>
      <c r="G125" s="586"/>
      <c r="H125" s="586"/>
      <c r="I125" s="586"/>
      <c r="J125" s="586"/>
      <c r="K125" s="586"/>
      <c r="L125" s="586"/>
      <c r="M125" s="586"/>
      <c r="N125" s="586"/>
      <c r="O125" s="72"/>
    </row>
    <row r="126" spans="2:18" s="73" customFormat="1" ht="15">
      <c r="B126" s="130"/>
      <c r="C126" s="586"/>
      <c r="D126" s="586"/>
      <c r="E126" s="586"/>
      <c r="F126" s="586"/>
      <c r="G126" s="586"/>
      <c r="H126" s="586"/>
      <c r="I126" s="586"/>
      <c r="J126" s="586"/>
      <c r="K126" s="586"/>
      <c r="L126" s="586"/>
      <c r="M126" s="586"/>
      <c r="N126" s="586"/>
      <c r="O126" s="72"/>
    </row>
    <row r="127" spans="2:18" s="73" customFormat="1" ht="15">
      <c r="B127" s="130"/>
      <c r="C127" s="586"/>
      <c r="D127" s="586"/>
      <c r="E127" s="586"/>
      <c r="F127" s="586"/>
      <c r="G127" s="586"/>
      <c r="H127" s="586"/>
      <c r="I127" s="586"/>
      <c r="J127" s="586"/>
      <c r="K127" s="586"/>
      <c r="L127" s="586"/>
      <c r="M127" s="586"/>
      <c r="N127" s="586"/>
      <c r="O127" s="72"/>
    </row>
    <row r="128" spans="2:18" s="73" customFormat="1" ht="15">
      <c r="B128" s="130"/>
      <c r="C128" s="586"/>
      <c r="D128" s="586"/>
      <c r="E128" s="586"/>
      <c r="F128" s="586"/>
      <c r="G128" s="586"/>
      <c r="H128" s="586"/>
      <c r="I128" s="586"/>
      <c r="J128" s="586"/>
      <c r="K128" s="586"/>
      <c r="L128" s="586"/>
      <c r="M128" s="586"/>
      <c r="N128" s="586"/>
      <c r="O128" s="72"/>
    </row>
    <row r="129" spans="2:18" s="62" customFormat="1" ht="15">
      <c r="B129" s="65" t="s">
        <v>56</v>
      </c>
      <c r="C129" s="61" t="s">
        <v>57</v>
      </c>
      <c r="D129" s="61"/>
      <c r="E129" s="61"/>
      <c r="Q129" s="61"/>
    </row>
    <row r="130" spans="2:18" s="62" customFormat="1" ht="15">
      <c r="B130" s="159"/>
      <c r="C130" s="62" t="s">
        <v>527</v>
      </c>
      <c r="Q130" s="61"/>
    </row>
    <row r="131" spans="2:18" s="62" customFormat="1" ht="15">
      <c r="B131" s="159"/>
      <c r="Q131" s="61"/>
    </row>
    <row r="132" spans="2:18" s="62" customFormat="1" ht="15">
      <c r="B132" s="159"/>
      <c r="C132" s="62" t="s">
        <v>475</v>
      </c>
      <c r="D132" s="586" t="s">
        <v>555</v>
      </c>
      <c r="E132" s="586"/>
      <c r="F132" s="586"/>
      <c r="G132" s="586"/>
      <c r="H132" s="586"/>
      <c r="I132" s="586"/>
      <c r="J132" s="586"/>
      <c r="K132" s="586"/>
      <c r="L132" s="586"/>
      <c r="M132" s="586"/>
      <c r="N132" s="586"/>
      <c r="Q132" s="61"/>
    </row>
    <row r="133" spans="2:18" s="62" customFormat="1" ht="15">
      <c r="B133" s="159"/>
      <c r="D133" s="586"/>
      <c r="E133" s="586"/>
      <c r="F133" s="586"/>
      <c r="G133" s="586"/>
      <c r="H133" s="586"/>
      <c r="I133" s="586"/>
      <c r="J133" s="586"/>
      <c r="K133" s="586"/>
      <c r="L133" s="586"/>
      <c r="M133" s="586"/>
      <c r="N133" s="586"/>
      <c r="Q133" s="61"/>
    </row>
    <row r="134" spans="2:18" s="62" customFormat="1" ht="15">
      <c r="B134" s="159"/>
      <c r="Q134" s="61"/>
    </row>
    <row r="135" spans="2:18" s="62" customFormat="1" ht="15">
      <c r="B135" s="159"/>
      <c r="C135" s="62" t="s">
        <v>476</v>
      </c>
      <c r="D135" s="586" t="s">
        <v>556</v>
      </c>
      <c r="E135" s="586"/>
      <c r="F135" s="586"/>
      <c r="G135" s="586"/>
      <c r="H135" s="586"/>
      <c r="I135" s="586"/>
      <c r="J135" s="586"/>
      <c r="K135" s="586"/>
      <c r="L135" s="586"/>
      <c r="M135" s="586"/>
      <c r="N135" s="586"/>
      <c r="Q135" s="61"/>
    </row>
    <row r="136" spans="2:18" s="62" customFormat="1" ht="15">
      <c r="B136" s="159"/>
      <c r="D136" s="586"/>
      <c r="E136" s="586"/>
      <c r="F136" s="586"/>
      <c r="G136" s="586"/>
      <c r="H136" s="586"/>
      <c r="I136" s="586"/>
      <c r="J136" s="586"/>
      <c r="K136" s="586"/>
      <c r="L136" s="586"/>
      <c r="M136" s="586"/>
      <c r="N136" s="586"/>
      <c r="Q136" s="61"/>
    </row>
    <row r="137" spans="2:18" s="62" customFormat="1" ht="14.25">
      <c r="B137" s="159"/>
      <c r="C137" s="74"/>
      <c r="D137" s="74"/>
      <c r="R137" s="64"/>
    </row>
    <row r="138" spans="2:18" s="62" customFormat="1" ht="15">
      <c r="B138" s="65" t="s">
        <v>58</v>
      </c>
      <c r="C138" s="61" t="s">
        <v>59</v>
      </c>
      <c r="D138" s="61"/>
    </row>
    <row r="139" spans="2:18" s="62" customFormat="1" ht="15">
      <c r="B139" s="159"/>
      <c r="C139" s="590" t="s">
        <v>559</v>
      </c>
      <c r="D139" s="590"/>
      <c r="E139" s="591"/>
      <c r="F139" s="591"/>
      <c r="G139" s="591"/>
      <c r="H139" s="591"/>
      <c r="I139" s="591"/>
      <c r="J139" s="591"/>
      <c r="K139" s="591"/>
      <c r="L139" s="591"/>
      <c r="M139" s="591"/>
      <c r="N139" s="591"/>
    </row>
    <row r="140" spans="2:18" s="62" customFormat="1" ht="15">
      <c r="B140" s="159"/>
      <c r="C140" s="574" t="s">
        <v>560</v>
      </c>
      <c r="D140" s="574"/>
      <c r="E140" s="145"/>
      <c r="F140" s="145"/>
      <c r="G140" s="145"/>
      <c r="H140" s="145"/>
      <c r="I140" s="145"/>
      <c r="J140" s="145"/>
      <c r="K140" s="145"/>
      <c r="L140" s="145"/>
      <c r="M140" s="145"/>
      <c r="N140" s="145"/>
    </row>
    <row r="141" spans="2:18" s="62" customFormat="1" ht="14.25">
      <c r="B141" s="159"/>
      <c r="C141" s="75"/>
      <c r="D141" s="75"/>
    </row>
    <row r="142" spans="2:18" s="62" customFormat="1" ht="15">
      <c r="B142" s="65" t="s">
        <v>60</v>
      </c>
      <c r="C142" s="61" t="s">
        <v>61</v>
      </c>
      <c r="D142" s="61"/>
      <c r="Q142" s="61"/>
      <c r="R142" s="61"/>
    </row>
    <row r="143" spans="2:18" s="62" customFormat="1" ht="14.25">
      <c r="B143" s="159"/>
      <c r="C143" s="589" t="s">
        <v>62</v>
      </c>
      <c r="D143" s="589"/>
      <c r="E143" s="589"/>
      <c r="F143" s="589"/>
      <c r="G143" s="589"/>
      <c r="H143" s="589"/>
      <c r="I143" s="589"/>
      <c r="J143" s="589"/>
      <c r="K143" s="589"/>
      <c r="L143" s="589"/>
      <c r="M143" s="589"/>
      <c r="N143" s="589"/>
    </row>
    <row r="144" spans="2:18" s="62" customFormat="1" ht="14.25">
      <c r="B144" s="159"/>
    </row>
    <row r="145" spans="2:15" s="62" customFormat="1" ht="15">
      <c r="B145" s="65"/>
      <c r="C145" s="61"/>
      <c r="D145" s="61"/>
      <c r="E145" s="61"/>
      <c r="F145" s="61"/>
      <c r="G145" s="61"/>
    </row>
    <row r="146" spans="2:15" s="62" customFormat="1" ht="14.25">
      <c r="B146" s="159"/>
    </row>
    <row r="147" spans="2:15" s="62" customFormat="1" ht="14.25"/>
    <row r="148" spans="2:15" s="62" customFormat="1" ht="14.25"/>
    <row r="149" spans="2:15" s="62" customFormat="1" ht="14.25"/>
    <row r="150" spans="2:15" s="62" customFormat="1" ht="14.25">
      <c r="O150" s="179"/>
    </row>
    <row r="151" spans="2:15" s="62" customFormat="1" ht="14.25">
      <c r="O151" s="179"/>
    </row>
    <row r="152" spans="2:15" s="62" customFormat="1" ht="14.25">
      <c r="O152" s="179"/>
    </row>
    <row r="153" spans="2:15" s="62" customFormat="1" ht="14.25">
      <c r="O153" s="179"/>
    </row>
    <row r="154" spans="2:15" s="62" customFormat="1" ht="14.25">
      <c r="O154" s="179"/>
    </row>
    <row r="155" spans="2:15" s="62" customFormat="1" ht="14.25">
      <c r="O155" s="179"/>
    </row>
    <row r="156" spans="2:15" s="62" customFormat="1" ht="14.25">
      <c r="O156" s="179"/>
    </row>
    <row r="157" spans="2:15" s="62" customFormat="1" ht="14.25">
      <c r="O157" s="179"/>
    </row>
    <row r="158" spans="2:15" s="62" customFormat="1" ht="14.25">
      <c r="O158" s="179"/>
    </row>
    <row r="159" spans="2:15" s="62" customFormat="1" ht="14.25"/>
    <row r="160" spans="2:15" s="62" customFormat="1" ht="14.25">
      <c r="C160" s="179"/>
      <c r="D160" s="179"/>
      <c r="E160" s="179"/>
      <c r="F160" s="179"/>
      <c r="G160" s="179"/>
      <c r="H160" s="179"/>
      <c r="I160" s="179"/>
      <c r="J160" s="179"/>
      <c r="K160" s="179"/>
      <c r="L160" s="179"/>
      <c r="M160" s="179"/>
      <c r="N160" s="179"/>
      <c r="O160" s="179"/>
    </row>
    <row r="161" spans="2:15" s="62" customFormat="1" ht="15">
      <c r="B161" s="61"/>
      <c r="C161" s="259"/>
      <c r="D161" s="259"/>
      <c r="E161" s="259"/>
      <c r="F161" s="259"/>
      <c r="G161" s="259"/>
      <c r="H161" s="259"/>
      <c r="I161" s="179"/>
      <c r="J161" s="179"/>
      <c r="K161" s="179"/>
      <c r="L161" s="179"/>
      <c r="M161" s="179"/>
      <c r="N161" s="179"/>
      <c r="O161" s="179"/>
    </row>
    <row r="162" spans="2:15" s="62" customFormat="1" ht="14.25"/>
    <row r="163" spans="2:15" s="62" customFormat="1" ht="14.25"/>
    <row r="164" spans="2:15" s="62" customFormat="1" ht="14.25"/>
    <row r="165" spans="2:15" s="62" customFormat="1" ht="14.25"/>
    <row r="166" spans="2:15" s="62" customFormat="1" ht="14.25"/>
    <row r="167" spans="2:15" s="62" customFormat="1" ht="14.25"/>
    <row r="168" spans="2:15" s="62" customFormat="1" ht="14.25"/>
    <row r="169" spans="2:15" s="62" customFormat="1" ht="14.25"/>
    <row r="170" spans="2:15" s="62" customFormat="1" ht="14.25"/>
    <row r="171" spans="2:15" s="62" customFormat="1" ht="14.25"/>
    <row r="172" spans="2:15" s="62" customFormat="1" ht="14.25"/>
    <row r="173" spans="2:15" s="62" customFormat="1" ht="14.25"/>
    <row r="174" spans="2:15" s="62" customFormat="1" ht="14.25"/>
    <row r="175" spans="2:15" s="62" customFormat="1" ht="14.25"/>
    <row r="176" spans="2:15" s="62" customFormat="1" ht="14.25"/>
    <row r="177" s="62" customFormat="1" ht="14.25"/>
    <row r="178" s="62" customFormat="1" ht="14.25"/>
    <row r="179" s="62" customFormat="1" ht="14.25"/>
    <row r="180" s="62" customFormat="1" ht="14.25"/>
    <row r="181" s="62" customFormat="1" ht="14.25"/>
    <row r="182" s="62" customFormat="1" ht="14.25"/>
    <row r="183" s="62" customFormat="1" ht="14.25"/>
    <row r="184" s="62" customFormat="1" ht="14.25"/>
    <row r="185" s="62" customFormat="1" ht="14.25"/>
    <row r="186" s="62" customFormat="1" ht="14.25"/>
    <row r="187" s="62" customFormat="1" ht="14.25"/>
    <row r="188" s="62" customFormat="1" ht="14.25"/>
    <row r="189" s="62" customFormat="1" ht="14.25"/>
    <row r="190" s="62" customFormat="1" ht="14.25"/>
    <row r="191" s="62" customFormat="1" ht="14.25"/>
    <row r="192" s="62" customFormat="1" ht="14.25"/>
  </sheetData>
  <mergeCells count="16">
    <mergeCell ref="C10:N16"/>
    <mergeCell ref="C68:N69"/>
    <mergeCell ref="C72:N72"/>
    <mergeCell ref="C143:N143"/>
    <mergeCell ref="C139:N139"/>
    <mergeCell ref="C119:N120"/>
    <mergeCell ref="C19:N24"/>
    <mergeCell ref="C75:N77"/>
    <mergeCell ref="C123:N124"/>
    <mergeCell ref="C80:N81"/>
    <mergeCell ref="D132:N133"/>
    <mergeCell ref="D135:N136"/>
    <mergeCell ref="C125:N128"/>
    <mergeCell ref="C84:N85"/>
    <mergeCell ref="C88:N88"/>
    <mergeCell ref="C115:N116"/>
  </mergeCells>
  <phoneticPr fontId="25" type="noConversion"/>
  <pageMargins left="0.49" right="0.17" top="0.62" bottom="0.7" header="0.3" footer="0.3"/>
  <pageSetup paperSize="9" scale="99" fitToHeight="2" orientation="portrait" r:id="rId1"/>
  <rowBreaks count="3" manualBreakCount="3">
    <brk id="53" max="13" man="1"/>
    <brk id="89" max="13" man="1"/>
    <brk id="128" max="13" man="1"/>
  </rowBreaks>
</worksheet>
</file>

<file path=xl/worksheets/sheet7.xml><?xml version="1.0" encoding="utf-8"?>
<worksheet xmlns="http://schemas.openxmlformats.org/spreadsheetml/2006/main" xmlns:r="http://schemas.openxmlformats.org/officeDocument/2006/relationships">
  <sheetPr>
    <tabColor indexed="10"/>
  </sheetPr>
  <dimension ref="A1:Q169"/>
  <sheetViews>
    <sheetView tabSelected="1" view="pageBreakPreview" topLeftCell="A133" zoomScaleSheetLayoutView="100" workbookViewId="0">
      <selection activeCell="L4" sqref="L4"/>
    </sheetView>
  </sheetViews>
  <sheetFormatPr defaultRowHeight="15"/>
  <cols>
    <col min="1" max="1" width="1.5703125" customWidth="1"/>
    <col min="2" max="2" width="4.5703125" style="322" customWidth="1"/>
    <col min="3" max="3" width="16.42578125" customWidth="1"/>
    <col min="4" max="4" width="12.5703125" customWidth="1"/>
    <col min="5" max="5" width="13.42578125" customWidth="1"/>
    <col min="6" max="6" width="0.85546875" customWidth="1"/>
    <col min="7" max="7" width="12.5703125" customWidth="1"/>
    <col min="8" max="8" width="1.28515625" customWidth="1"/>
    <col min="9" max="9" width="11.5703125" customWidth="1"/>
    <col min="10" max="10" width="0.28515625" hidden="1" customWidth="1"/>
    <col min="11" max="11" width="1.5703125" customWidth="1"/>
    <col min="12" max="12" width="17.5703125" customWidth="1"/>
    <col min="13" max="13" width="4.7109375" style="166" customWidth="1"/>
    <col min="14" max="14" width="18.42578125" customWidth="1"/>
    <col min="15" max="15" width="10.28515625" customWidth="1"/>
    <col min="16" max="16" width="14.85546875" customWidth="1"/>
  </cols>
  <sheetData>
    <row r="1" spans="1:16">
      <c r="A1" s="128"/>
      <c r="B1" s="318"/>
      <c r="C1" s="58"/>
      <c r="D1" s="128"/>
      <c r="E1" s="128"/>
      <c r="F1" s="128"/>
      <c r="G1" s="128"/>
      <c r="H1" s="128"/>
      <c r="I1" s="128"/>
      <c r="J1" s="128"/>
      <c r="K1" s="128"/>
      <c r="L1" s="128"/>
      <c r="M1" s="128"/>
      <c r="N1" s="128"/>
      <c r="O1" s="128"/>
      <c r="P1" s="128"/>
    </row>
    <row r="2" spans="1:16" ht="20.25">
      <c r="A2" s="128"/>
      <c r="B2" s="319" t="s">
        <v>77</v>
      </c>
      <c r="C2" s="3"/>
      <c r="D2" s="50"/>
      <c r="E2" s="50"/>
      <c r="F2" s="50"/>
      <c r="G2" s="3"/>
      <c r="H2" s="128"/>
      <c r="I2" s="128"/>
      <c r="J2" s="128"/>
      <c r="K2" s="128"/>
      <c r="L2" s="128"/>
      <c r="M2" s="128"/>
      <c r="N2" s="128"/>
      <c r="O2" s="128"/>
      <c r="P2" s="128"/>
    </row>
    <row r="3" spans="1:16">
      <c r="A3" s="128"/>
      <c r="B3" s="320"/>
      <c r="C3" s="2"/>
      <c r="D3" s="7"/>
      <c r="E3" s="179"/>
      <c r="F3" s="179"/>
      <c r="G3" s="179"/>
      <c r="H3" s="179"/>
      <c r="I3" s="179"/>
      <c r="J3" s="128"/>
      <c r="K3" s="128"/>
      <c r="L3" s="128"/>
      <c r="M3" s="128"/>
      <c r="N3" s="128"/>
      <c r="O3" s="128"/>
      <c r="P3" s="128"/>
    </row>
    <row r="4" spans="1:16" ht="15.75">
      <c r="A4" s="128"/>
      <c r="B4" s="129" t="s">
        <v>392</v>
      </c>
      <c r="C4" s="58"/>
      <c r="D4" s="128"/>
      <c r="E4" s="128"/>
      <c r="F4" s="128"/>
      <c r="G4" s="128"/>
      <c r="H4" s="128"/>
      <c r="I4" s="128"/>
      <c r="J4" s="128"/>
      <c r="K4" s="128"/>
      <c r="L4" s="128"/>
      <c r="M4" s="128"/>
      <c r="N4" s="128"/>
      <c r="O4" s="128"/>
      <c r="P4" s="128"/>
    </row>
    <row r="5" spans="1:16" ht="15.75">
      <c r="A5" s="128"/>
      <c r="B5" s="129"/>
      <c r="C5" s="58"/>
      <c r="D5" s="128"/>
      <c r="E5" s="128"/>
      <c r="F5" s="128"/>
      <c r="G5" s="128"/>
      <c r="H5" s="128"/>
      <c r="I5" s="128"/>
      <c r="J5" s="128"/>
      <c r="K5" s="128"/>
      <c r="L5" s="128"/>
      <c r="M5" s="128"/>
      <c r="N5" s="128"/>
      <c r="O5" s="128"/>
      <c r="P5" s="128"/>
    </row>
    <row r="6" spans="1:16" ht="15" customHeight="1">
      <c r="A6" s="73"/>
      <c r="B6" s="321" t="s">
        <v>175</v>
      </c>
      <c r="C6" s="61" t="s">
        <v>558</v>
      </c>
      <c r="D6" s="73"/>
      <c r="E6" s="73"/>
      <c r="F6" s="73"/>
      <c r="G6" s="73"/>
      <c r="H6" s="73"/>
      <c r="I6" s="73"/>
      <c r="J6" s="73"/>
      <c r="K6" s="73"/>
      <c r="L6" s="73"/>
      <c r="M6" s="73"/>
      <c r="N6" s="73"/>
      <c r="O6" s="73"/>
      <c r="P6" s="73"/>
    </row>
    <row r="7" spans="1:16">
      <c r="A7" s="73"/>
      <c r="B7" s="321"/>
      <c r="C7" s="61" t="s">
        <v>557</v>
      </c>
      <c r="D7" s="71"/>
      <c r="E7" s="71"/>
      <c r="F7" s="71"/>
      <c r="G7" s="71"/>
      <c r="H7" s="71"/>
      <c r="I7" s="73"/>
      <c r="J7" s="73"/>
      <c r="K7" s="73"/>
      <c r="L7" s="73"/>
      <c r="M7" s="73"/>
      <c r="N7" s="73"/>
      <c r="O7" s="73"/>
      <c r="P7" s="73"/>
    </row>
    <row r="8" spans="1:16">
      <c r="A8" s="73"/>
      <c r="B8" s="321"/>
      <c r="C8" s="62"/>
      <c r="D8" s="73"/>
      <c r="E8" s="73"/>
      <c r="F8" s="73"/>
      <c r="G8" s="73"/>
      <c r="H8" s="73"/>
      <c r="I8" s="73"/>
      <c r="J8" s="73"/>
      <c r="K8" s="73"/>
      <c r="L8" s="73"/>
      <c r="M8" s="73"/>
      <c r="N8" s="73"/>
      <c r="O8" s="73"/>
      <c r="P8" s="73"/>
    </row>
    <row r="9" spans="1:16" s="212" customFormat="1" ht="15.75" customHeight="1">
      <c r="A9" s="73"/>
      <c r="B9" s="321" t="s">
        <v>176</v>
      </c>
      <c r="C9" s="61" t="s">
        <v>477</v>
      </c>
      <c r="D9" s="73"/>
      <c r="E9" s="73"/>
      <c r="F9" s="73"/>
      <c r="G9" s="73"/>
      <c r="H9" s="73"/>
      <c r="I9" s="73"/>
      <c r="J9" s="73"/>
      <c r="K9" s="73"/>
      <c r="L9" s="73"/>
      <c r="M9" s="73"/>
      <c r="N9" s="73"/>
      <c r="O9" s="73"/>
      <c r="P9" s="73"/>
    </row>
    <row r="10" spans="1:16" s="213" customFormat="1" ht="30" customHeight="1">
      <c r="A10" s="73"/>
      <c r="B10" s="321"/>
      <c r="C10" s="586" t="s">
        <v>561</v>
      </c>
      <c r="D10" s="586"/>
      <c r="E10" s="586"/>
      <c r="F10" s="586"/>
      <c r="G10" s="586"/>
      <c r="H10" s="586"/>
      <c r="I10" s="586"/>
      <c r="J10" s="586"/>
      <c r="K10" s="586"/>
      <c r="L10" s="586"/>
      <c r="M10" s="62"/>
      <c r="N10" s="62"/>
      <c r="O10" s="62"/>
      <c r="P10" s="62"/>
    </row>
    <row r="11" spans="1:16" s="213" customFormat="1">
      <c r="A11" s="73"/>
      <c r="B11" s="321"/>
      <c r="C11" s="586"/>
      <c r="D11" s="586"/>
      <c r="E11" s="586"/>
      <c r="F11" s="586"/>
      <c r="G11" s="586"/>
      <c r="H11" s="586"/>
      <c r="I11" s="586"/>
      <c r="J11" s="586"/>
      <c r="K11" s="586"/>
      <c r="L11" s="586"/>
      <c r="M11" s="62"/>
      <c r="N11" s="62"/>
      <c r="O11" s="62"/>
      <c r="P11" s="62"/>
    </row>
    <row r="12" spans="1:16" s="213" customFormat="1" ht="16.5" customHeight="1">
      <c r="A12" s="73"/>
      <c r="B12" s="321"/>
      <c r="C12" s="586"/>
      <c r="D12" s="586"/>
      <c r="E12" s="586"/>
      <c r="F12" s="586"/>
      <c r="G12" s="586"/>
      <c r="H12" s="586"/>
      <c r="I12" s="586"/>
      <c r="J12" s="586"/>
      <c r="K12" s="586"/>
      <c r="L12" s="586"/>
      <c r="M12" s="62"/>
      <c r="N12" s="62"/>
      <c r="O12" s="62"/>
      <c r="P12" s="62"/>
    </row>
    <row r="13" spans="1:16" s="213" customFormat="1">
      <c r="A13" s="73"/>
      <c r="B13" s="321"/>
      <c r="C13" s="62"/>
      <c r="D13" s="62"/>
      <c r="E13" s="62"/>
      <c r="F13" s="62"/>
      <c r="G13" s="62"/>
      <c r="H13" s="62"/>
      <c r="I13" s="62"/>
      <c r="J13" s="62"/>
      <c r="K13" s="62"/>
      <c r="L13" s="62"/>
      <c r="M13" s="62"/>
      <c r="N13" s="62"/>
      <c r="O13" s="62"/>
      <c r="P13" s="62"/>
    </row>
    <row r="14" spans="1:16" s="213" customFormat="1">
      <c r="A14" s="73"/>
      <c r="B14" s="321"/>
      <c r="C14" s="592" t="s">
        <v>545</v>
      </c>
      <c r="D14" s="592"/>
      <c r="E14" s="592"/>
      <c r="F14" s="592"/>
      <c r="G14" s="592"/>
      <c r="H14" s="592"/>
      <c r="I14" s="592"/>
      <c r="J14" s="592"/>
      <c r="K14" s="592"/>
      <c r="L14" s="592"/>
      <c r="M14" s="62"/>
      <c r="N14" s="62"/>
      <c r="O14" s="62"/>
      <c r="P14" s="62"/>
    </row>
    <row r="15" spans="1:16" s="213" customFormat="1">
      <c r="A15" s="73"/>
      <c r="B15" s="321"/>
      <c r="C15" s="592"/>
      <c r="D15" s="592"/>
      <c r="E15" s="592"/>
      <c r="F15" s="592"/>
      <c r="G15" s="592"/>
      <c r="H15" s="592"/>
      <c r="I15" s="592"/>
      <c r="J15" s="592"/>
      <c r="K15" s="592"/>
      <c r="L15" s="592"/>
      <c r="M15" s="62"/>
      <c r="N15" s="62"/>
      <c r="O15" s="62"/>
      <c r="P15" s="62"/>
    </row>
    <row r="16" spans="1:16" s="213" customFormat="1" ht="27.75" customHeight="1">
      <c r="A16" s="73"/>
      <c r="B16" s="321"/>
      <c r="C16" s="593"/>
      <c r="D16" s="593"/>
      <c r="E16" s="593"/>
      <c r="F16" s="593"/>
      <c r="G16" s="593"/>
      <c r="H16" s="593"/>
      <c r="I16" s="593"/>
      <c r="J16" s="593"/>
      <c r="K16" s="593"/>
      <c r="L16" s="593"/>
      <c r="M16" s="62"/>
      <c r="N16" s="62"/>
      <c r="O16" s="62"/>
      <c r="P16" s="62"/>
    </row>
    <row r="17" spans="1:16" s="213" customFormat="1">
      <c r="A17" s="73"/>
      <c r="B17" s="321"/>
      <c r="C17" s="564"/>
      <c r="D17" s="564"/>
      <c r="E17" s="564"/>
      <c r="F17" s="564"/>
      <c r="G17" s="564"/>
      <c r="H17" s="564"/>
      <c r="I17" s="564"/>
      <c r="J17" s="564"/>
      <c r="K17" s="564"/>
      <c r="L17" s="564"/>
      <c r="M17" s="62"/>
      <c r="N17" s="62"/>
      <c r="O17" s="62"/>
      <c r="P17" s="62"/>
    </row>
    <row r="18" spans="1:16" ht="15" customHeight="1">
      <c r="A18" s="73"/>
      <c r="B18" s="321" t="s">
        <v>177</v>
      </c>
      <c r="C18" s="61" t="s">
        <v>178</v>
      </c>
      <c r="D18" s="73"/>
      <c r="E18" s="73"/>
      <c r="F18" s="73"/>
      <c r="G18" s="73"/>
      <c r="H18" s="73"/>
      <c r="I18" s="73"/>
      <c r="J18" s="73"/>
      <c r="K18" s="73"/>
      <c r="L18" s="73"/>
      <c r="M18" s="73"/>
      <c r="N18" s="73"/>
      <c r="O18" s="73"/>
      <c r="P18" s="73"/>
    </row>
    <row r="19" spans="1:16" ht="20.25" customHeight="1">
      <c r="A19" s="73"/>
      <c r="B19" s="321"/>
      <c r="C19" s="62"/>
      <c r="D19" s="73"/>
      <c r="E19" s="68" t="s">
        <v>63</v>
      </c>
      <c r="F19" s="68"/>
      <c r="G19" s="68" t="s">
        <v>246</v>
      </c>
      <c r="H19" s="130"/>
      <c r="J19" s="73"/>
      <c r="K19" s="73"/>
      <c r="M19" s="131"/>
      <c r="N19" s="73"/>
      <c r="O19" s="73"/>
      <c r="P19" s="73"/>
    </row>
    <row r="20" spans="1:16">
      <c r="A20" s="73"/>
      <c r="B20" s="321"/>
      <c r="C20" s="62"/>
      <c r="D20" s="73"/>
      <c r="E20" s="68" t="s">
        <v>179</v>
      </c>
      <c r="F20" s="68"/>
      <c r="G20" s="68" t="s">
        <v>179</v>
      </c>
      <c r="H20" s="132"/>
      <c r="I20" s="166"/>
      <c r="J20" s="73"/>
      <c r="K20" s="73"/>
      <c r="M20" s="131"/>
      <c r="N20" s="133"/>
      <c r="O20" s="73"/>
      <c r="P20" s="73"/>
    </row>
    <row r="21" spans="1:16" ht="29.25">
      <c r="A21" s="73"/>
      <c r="B21" s="321"/>
      <c r="C21" s="62"/>
      <c r="D21" s="73"/>
      <c r="E21" s="567" t="s">
        <v>390</v>
      </c>
      <c r="F21" s="567"/>
      <c r="G21" s="567" t="s">
        <v>546</v>
      </c>
      <c r="H21" s="132"/>
      <c r="I21" s="166"/>
      <c r="J21" s="73"/>
      <c r="K21" s="73"/>
      <c r="M21" s="131"/>
      <c r="N21" s="133"/>
      <c r="O21" s="73"/>
      <c r="P21" s="73"/>
    </row>
    <row r="22" spans="1:16">
      <c r="A22" s="73"/>
      <c r="B22" s="321"/>
      <c r="C22" s="62"/>
      <c r="D22" s="73"/>
      <c r="E22" s="68" t="s">
        <v>5</v>
      </c>
      <c r="F22" s="68"/>
      <c r="G22" s="68" t="s">
        <v>5</v>
      </c>
      <c r="H22" s="68"/>
      <c r="I22" s="166"/>
      <c r="J22" s="73"/>
      <c r="K22" s="73"/>
      <c r="M22" s="131"/>
      <c r="N22" s="73"/>
      <c r="O22" s="73"/>
      <c r="P22" s="73"/>
    </row>
    <row r="23" spans="1:16">
      <c r="A23" s="73"/>
      <c r="B23" s="321"/>
      <c r="C23" s="62"/>
      <c r="D23" s="73"/>
      <c r="E23" s="131"/>
      <c r="F23" s="131"/>
      <c r="G23" s="131"/>
      <c r="H23" s="73"/>
      <c r="I23" s="166"/>
      <c r="J23" s="73"/>
      <c r="K23" s="73"/>
      <c r="M23" s="131"/>
      <c r="N23" s="73"/>
      <c r="O23" s="73"/>
      <c r="P23" s="73"/>
    </row>
    <row r="24" spans="1:16" ht="14.25" customHeight="1">
      <c r="A24" s="73"/>
      <c r="B24" s="321"/>
      <c r="C24" s="62" t="s">
        <v>6</v>
      </c>
      <c r="D24" s="73"/>
      <c r="E24" s="134">
        <f ca="1">IS!E17</f>
        <v>1902</v>
      </c>
      <c r="F24" s="134"/>
      <c r="G24" s="369">
        <v>4384</v>
      </c>
      <c r="H24" s="134"/>
      <c r="I24" s="166"/>
      <c r="J24" s="73"/>
      <c r="K24" s="73"/>
      <c r="M24" s="131"/>
      <c r="N24" s="160"/>
      <c r="O24" s="73"/>
      <c r="P24" s="73"/>
    </row>
    <row r="25" spans="1:16">
      <c r="A25" s="73"/>
      <c r="B25" s="321"/>
      <c r="C25" s="62"/>
      <c r="D25" s="73"/>
      <c r="E25" s="73"/>
      <c r="F25" s="73"/>
      <c r="G25" s="73"/>
      <c r="H25" s="73"/>
      <c r="I25" s="166"/>
      <c r="J25" s="73"/>
      <c r="K25" s="73"/>
      <c r="M25" s="131"/>
      <c r="N25" s="73"/>
      <c r="O25" s="73"/>
      <c r="P25" s="73"/>
    </row>
    <row r="26" spans="1:16">
      <c r="A26" s="73"/>
      <c r="B26" s="321"/>
      <c r="C26" s="62" t="s">
        <v>180</v>
      </c>
      <c r="D26" s="73"/>
      <c r="E26" s="134">
        <f ca="1">IS!E27</f>
        <v>-563</v>
      </c>
      <c r="F26" s="134"/>
      <c r="G26" s="134">
        <v>-987</v>
      </c>
      <c r="H26" s="134"/>
      <c r="I26" s="166"/>
      <c r="J26" s="73"/>
      <c r="K26" s="73"/>
      <c r="M26" s="131"/>
      <c r="N26" s="73"/>
      <c r="O26" s="73"/>
      <c r="P26" s="73"/>
    </row>
    <row r="27" spans="1:16">
      <c r="A27" s="73"/>
      <c r="B27" s="321"/>
      <c r="C27" s="62"/>
      <c r="D27" s="73"/>
      <c r="E27" s="73"/>
      <c r="F27" s="73"/>
      <c r="G27" s="73"/>
      <c r="H27" s="73"/>
      <c r="I27" s="73"/>
      <c r="J27" s="73"/>
      <c r="K27" s="73"/>
      <c r="L27" s="73"/>
      <c r="M27" s="73"/>
      <c r="N27" s="73"/>
      <c r="O27" s="73"/>
      <c r="P27" s="73"/>
    </row>
    <row r="28" spans="1:16">
      <c r="A28" s="73"/>
      <c r="B28" s="321"/>
      <c r="C28" s="586" t="s">
        <v>539</v>
      </c>
      <c r="D28" s="586"/>
      <c r="E28" s="586"/>
      <c r="F28" s="586"/>
      <c r="G28" s="586"/>
      <c r="H28" s="586"/>
      <c r="I28" s="586"/>
      <c r="J28" s="586"/>
      <c r="K28" s="586"/>
      <c r="L28" s="586"/>
      <c r="M28" s="73"/>
      <c r="N28" s="73"/>
      <c r="O28" s="73"/>
      <c r="P28" s="73"/>
    </row>
    <row r="29" spans="1:16">
      <c r="A29" s="73"/>
      <c r="B29" s="321"/>
      <c r="C29" s="586"/>
      <c r="D29" s="586"/>
      <c r="E29" s="586"/>
      <c r="F29" s="586"/>
      <c r="G29" s="586"/>
      <c r="H29" s="586"/>
      <c r="I29" s="586"/>
      <c r="J29" s="586"/>
      <c r="K29" s="586"/>
      <c r="L29" s="586"/>
      <c r="M29" s="73"/>
      <c r="N29" s="73"/>
      <c r="O29" s="73"/>
      <c r="P29" s="73"/>
    </row>
    <row r="30" spans="1:16">
      <c r="A30" s="73"/>
      <c r="B30" s="321"/>
      <c r="C30" s="69"/>
      <c r="D30" s="69"/>
      <c r="E30" s="69"/>
      <c r="F30" s="69"/>
      <c r="G30" s="69"/>
      <c r="H30" s="69"/>
      <c r="I30" s="69"/>
      <c r="J30" s="69"/>
      <c r="K30" s="69"/>
      <c r="L30" s="69"/>
      <c r="M30" s="73"/>
      <c r="N30" s="73"/>
      <c r="O30" s="73"/>
      <c r="P30" s="73"/>
    </row>
    <row r="31" spans="1:16">
      <c r="A31" s="73"/>
      <c r="B31" s="321"/>
      <c r="C31" s="586" t="s">
        <v>547</v>
      </c>
      <c r="D31" s="586"/>
      <c r="E31" s="586"/>
      <c r="F31" s="586"/>
      <c r="G31" s="586"/>
      <c r="H31" s="586"/>
      <c r="I31" s="586"/>
      <c r="J31" s="586"/>
      <c r="K31" s="586"/>
      <c r="L31" s="586"/>
      <c r="M31" s="73"/>
      <c r="N31" s="73"/>
      <c r="O31" s="73"/>
      <c r="P31" s="73"/>
    </row>
    <row r="32" spans="1:16" s="213" customFormat="1" ht="15" customHeight="1">
      <c r="A32" s="73"/>
      <c r="B32" s="321"/>
      <c r="C32" s="586"/>
      <c r="D32" s="586"/>
      <c r="E32" s="586"/>
      <c r="F32" s="586"/>
      <c r="G32" s="586"/>
      <c r="H32" s="586"/>
      <c r="I32" s="586"/>
      <c r="J32" s="586"/>
      <c r="K32" s="586"/>
      <c r="L32" s="586"/>
      <c r="M32" s="62"/>
      <c r="N32" s="62"/>
      <c r="O32" s="62"/>
      <c r="P32" s="62"/>
    </row>
    <row r="33" spans="1:17" s="213" customFormat="1">
      <c r="A33" s="73"/>
      <c r="B33" s="321"/>
      <c r="C33" s="586"/>
      <c r="D33" s="586"/>
      <c r="E33" s="586"/>
      <c r="F33" s="586"/>
      <c r="G33" s="586"/>
      <c r="H33" s="586"/>
      <c r="I33" s="586"/>
      <c r="J33" s="586"/>
      <c r="K33" s="586"/>
      <c r="L33" s="586"/>
      <c r="M33" s="62"/>
      <c r="N33" s="62"/>
      <c r="O33" s="62"/>
      <c r="P33" s="62"/>
    </row>
    <row r="34" spans="1:17">
      <c r="A34" s="73"/>
      <c r="B34" s="321"/>
      <c r="C34" s="62"/>
      <c r="D34" s="62"/>
      <c r="E34" s="62"/>
      <c r="F34" s="62"/>
      <c r="G34" s="62"/>
      <c r="H34" s="62"/>
      <c r="I34" s="62"/>
      <c r="J34" s="62"/>
      <c r="K34" s="62"/>
      <c r="L34" s="62"/>
      <c r="M34" s="62"/>
      <c r="N34" s="62"/>
      <c r="O34" s="62"/>
      <c r="P34" s="62"/>
    </row>
    <row r="35" spans="1:17" ht="12.75" customHeight="1">
      <c r="A35" s="73"/>
      <c r="B35" s="321" t="s">
        <v>181</v>
      </c>
      <c r="C35" s="61" t="s">
        <v>182</v>
      </c>
      <c r="D35" s="73"/>
      <c r="E35" s="73"/>
      <c r="F35" s="73"/>
      <c r="G35" s="73"/>
      <c r="H35" s="73"/>
      <c r="I35" s="73"/>
      <c r="J35" s="73"/>
      <c r="K35" s="73"/>
      <c r="L35" s="73"/>
      <c r="M35" s="73"/>
      <c r="N35" s="73"/>
      <c r="O35" s="73"/>
      <c r="P35" s="73"/>
    </row>
    <row r="36" spans="1:17" ht="12.75" customHeight="1">
      <c r="A36" s="73"/>
      <c r="B36" s="321"/>
      <c r="C36" s="62" t="s">
        <v>566</v>
      </c>
      <c r="D36" s="73"/>
      <c r="E36" s="73"/>
      <c r="F36" s="73"/>
      <c r="G36" s="73"/>
      <c r="H36" s="73"/>
      <c r="I36" s="73"/>
      <c r="J36" s="73"/>
      <c r="K36" s="73"/>
      <c r="L36" s="73"/>
      <c r="M36" s="73"/>
      <c r="N36" s="73"/>
      <c r="O36" s="73"/>
      <c r="P36" s="73"/>
    </row>
    <row r="37" spans="1:17" ht="15" customHeight="1">
      <c r="A37" s="73"/>
      <c r="B37" s="321"/>
      <c r="C37" s="586" t="s">
        <v>565</v>
      </c>
      <c r="D37" s="586"/>
      <c r="E37" s="586"/>
      <c r="F37" s="586"/>
      <c r="G37" s="586"/>
      <c r="H37" s="586"/>
      <c r="I37" s="586"/>
      <c r="J37" s="586"/>
      <c r="K37" s="586"/>
      <c r="L37" s="586"/>
      <c r="M37" s="62"/>
      <c r="N37" s="62"/>
      <c r="O37" s="62"/>
      <c r="P37" s="62"/>
      <c r="Q37" s="62"/>
    </row>
    <row r="38" spans="1:17">
      <c r="A38" s="73"/>
      <c r="B38" s="321"/>
      <c r="C38" s="586"/>
      <c r="D38" s="586"/>
      <c r="E38" s="586"/>
      <c r="F38" s="586"/>
      <c r="G38" s="586"/>
      <c r="H38" s="586"/>
      <c r="I38" s="586"/>
      <c r="J38" s="586"/>
      <c r="K38" s="586"/>
      <c r="L38" s="586"/>
      <c r="M38" s="62"/>
      <c r="N38" s="62"/>
      <c r="O38" s="62"/>
      <c r="P38" s="62"/>
      <c r="Q38" s="62"/>
    </row>
    <row r="39" spans="1:17">
      <c r="A39" s="73"/>
      <c r="B39" s="321"/>
      <c r="C39" s="69"/>
      <c r="D39" s="69"/>
      <c r="E39" s="69"/>
      <c r="F39" s="69"/>
      <c r="G39" s="69"/>
      <c r="H39" s="69"/>
      <c r="I39" s="69"/>
      <c r="J39" s="69"/>
      <c r="K39" s="69"/>
      <c r="L39" s="69"/>
      <c r="M39" s="62"/>
      <c r="N39" s="62"/>
      <c r="O39" s="62"/>
      <c r="P39" s="62"/>
      <c r="Q39" s="62"/>
    </row>
    <row r="40" spans="1:17">
      <c r="A40" s="73"/>
      <c r="B40" s="321"/>
      <c r="C40" s="586" t="s">
        <v>562</v>
      </c>
      <c r="D40" s="586"/>
      <c r="E40" s="586"/>
      <c r="F40" s="586"/>
      <c r="G40" s="586"/>
      <c r="H40" s="586"/>
      <c r="I40" s="586"/>
      <c r="J40" s="586"/>
      <c r="K40" s="586"/>
      <c r="L40" s="586"/>
      <c r="M40" s="62"/>
      <c r="N40" s="62"/>
      <c r="O40" s="62"/>
      <c r="P40" s="62"/>
      <c r="Q40" s="62"/>
    </row>
    <row r="41" spans="1:17">
      <c r="A41" s="73"/>
      <c r="B41" s="321"/>
      <c r="C41" s="586"/>
      <c r="D41" s="586"/>
      <c r="E41" s="586"/>
      <c r="F41" s="586"/>
      <c r="G41" s="586"/>
      <c r="H41" s="586"/>
      <c r="I41" s="586"/>
      <c r="J41" s="586"/>
      <c r="K41" s="586"/>
      <c r="L41" s="586"/>
      <c r="M41" s="62"/>
      <c r="N41" s="62"/>
      <c r="O41" s="62"/>
      <c r="P41" s="62"/>
      <c r="Q41" s="62"/>
    </row>
    <row r="42" spans="1:17">
      <c r="A42" s="73"/>
      <c r="B42" s="321"/>
      <c r="C42" s="69"/>
      <c r="D42" s="69"/>
      <c r="E42" s="69"/>
      <c r="F42" s="69"/>
      <c r="G42" s="69"/>
      <c r="H42" s="69"/>
      <c r="I42" s="69"/>
      <c r="J42" s="69"/>
      <c r="K42" s="69"/>
      <c r="L42" s="69"/>
      <c r="M42" s="62"/>
      <c r="N42" s="62"/>
      <c r="O42" s="62"/>
      <c r="P42" s="62"/>
      <c r="Q42" s="62"/>
    </row>
    <row r="43" spans="1:17">
      <c r="A43" s="73"/>
      <c r="B43" s="321"/>
      <c r="C43" s="586" t="s">
        <v>479</v>
      </c>
      <c r="D43" s="586"/>
      <c r="E43" s="586"/>
      <c r="F43" s="586"/>
      <c r="G43" s="586"/>
      <c r="H43" s="586"/>
      <c r="I43" s="586"/>
      <c r="J43" s="586"/>
      <c r="K43" s="586"/>
      <c r="L43" s="586"/>
      <c r="M43" s="62"/>
      <c r="N43" s="62"/>
      <c r="O43" s="62"/>
      <c r="P43" s="62"/>
    </row>
    <row r="44" spans="1:17">
      <c r="A44" s="73"/>
      <c r="B44" s="321"/>
      <c r="C44" s="586"/>
      <c r="D44" s="586"/>
      <c r="E44" s="586"/>
      <c r="F44" s="586"/>
      <c r="G44" s="586"/>
      <c r="H44" s="586"/>
      <c r="I44" s="586"/>
      <c r="J44" s="586"/>
      <c r="K44" s="586"/>
      <c r="L44" s="586"/>
      <c r="M44" s="62"/>
      <c r="N44" s="62"/>
      <c r="O44" s="62"/>
      <c r="P44" s="62"/>
    </row>
    <row r="45" spans="1:17">
      <c r="A45" s="73"/>
      <c r="B45" s="321"/>
      <c r="C45" s="69"/>
      <c r="D45" s="69"/>
      <c r="E45" s="69"/>
      <c r="F45" s="69"/>
      <c r="G45" s="69"/>
      <c r="H45" s="69"/>
      <c r="I45" s="69"/>
      <c r="J45" s="69"/>
      <c r="K45" s="69"/>
      <c r="L45" s="69"/>
      <c r="M45" s="62"/>
      <c r="N45" s="62"/>
      <c r="O45" s="62"/>
      <c r="P45" s="62"/>
    </row>
    <row r="46" spans="1:17" ht="15" customHeight="1">
      <c r="A46" s="73"/>
      <c r="B46" s="321" t="s">
        <v>183</v>
      </c>
      <c r="C46" s="61" t="s">
        <v>184</v>
      </c>
      <c r="D46" s="73"/>
      <c r="E46" s="73"/>
      <c r="F46" s="73"/>
      <c r="G46" s="73"/>
      <c r="H46" s="73"/>
      <c r="I46" s="73"/>
      <c r="J46" s="73"/>
      <c r="K46" s="73"/>
      <c r="L46" s="73"/>
      <c r="M46" s="73"/>
      <c r="N46" s="73"/>
      <c r="O46" s="73"/>
      <c r="P46" s="73"/>
    </row>
    <row r="47" spans="1:17" ht="31.5" customHeight="1">
      <c r="A47" s="73"/>
      <c r="B47" s="321"/>
      <c r="C47" s="586" t="s">
        <v>532</v>
      </c>
      <c r="D47" s="586"/>
      <c r="E47" s="586"/>
      <c r="F47" s="586"/>
      <c r="G47" s="586"/>
      <c r="H47" s="586"/>
      <c r="I47" s="586"/>
      <c r="J47" s="586"/>
      <c r="K47" s="586"/>
      <c r="L47" s="586"/>
      <c r="M47" s="73"/>
      <c r="N47" s="73"/>
      <c r="O47" s="73"/>
      <c r="P47" s="73"/>
    </row>
    <row r="48" spans="1:17" ht="0.75" customHeight="1">
      <c r="A48" s="73"/>
      <c r="B48" s="321"/>
      <c r="C48" s="69"/>
      <c r="D48" s="69"/>
      <c r="E48" s="69"/>
      <c r="F48" s="69"/>
      <c r="G48" s="69"/>
      <c r="H48" s="69"/>
      <c r="I48" s="69"/>
      <c r="J48" s="69"/>
      <c r="K48" s="69"/>
      <c r="L48" s="69"/>
      <c r="M48" s="73"/>
      <c r="N48" s="73"/>
      <c r="O48" s="73"/>
      <c r="P48" s="73"/>
    </row>
    <row r="49" spans="1:16" ht="0.75" customHeight="1">
      <c r="A49" s="73"/>
      <c r="B49" s="321"/>
      <c r="C49" s="69"/>
      <c r="D49" s="69"/>
      <c r="E49" s="69"/>
      <c r="F49" s="69"/>
      <c r="G49" s="69"/>
      <c r="H49" s="69"/>
      <c r="I49" s="69"/>
      <c r="J49" s="69"/>
      <c r="K49" s="69"/>
      <c r="L49" s="69"/>
      <c r="M49" s="73"/>
      <c r="N49" s="73"/>
      <c r="O49" s="73"/>
      <c r="P49" s="73"/>
    </row>
    <row r="50" spans="1:16" ht="15" customHeight="1">
      <c r="A50" s="73"/>
      <c r="B50" s="321" t="s">
        <v>185</v>
      </c>
      <c r="C50" s="61" t="s">
        <v>8</v>
      </c>
      <c r="D50" s="73"/>
      <c r="E50" s="73"/>
      <c r="F50" s="73"/>
      <c r="G50" s="73"/>
      <c r="H50" s="73"/>
      <c r="I50" s="73"/>
      <c r="J50" s="73"/>
      <c r="K50" s="73"/>
      <c r="L50" s="73"/>
      <c r="M50" s="73"/>
      <c r="N50" s="73"/>
      <c r="O50" s="73"/>
      <c r="P50" s="73"/>
    </row>
    <row r="51" spans="1:16">
      <c r="A51" s="73"/>
      <c r="B51" s="321"/>
      <c r="C51" s="586" t="s">
        <v>538</v>
      </c>
      <c r="D51" s="586"/>
      <c r="E51" s="586"/>
      <c r="F51" s="586"/>
      <c r="G51" s="586"/>
      <c r="H51" s="586"/>
      <c r="I51" s="586"/>
      <c r="J51" s="586"/>
      <c r="K51" s="586"/>
      <c r="L51" s="586"/>
      <c r="M51" s="73"/>
      <c r="N51" s="138"/>
      <c r="O51" s="135"/>
      <c r="P51" s="138"/>
    </row>
    <row r="52" spans="1:16">
      <c r="A52" s="73"/>
      <c r="B52" s="321"/>
      <c r="C52" s="586"/>
      <c r="D52" s="586"/>
      <c r="E52" s="586"/>
      <c r="F52" s="586"/>
      <c r="G52" s="586"/>
      <c r="H52" s="586"/>
      <c r="I52" s="586"/>
      <c r="J52" s="586"/>
      <c r="K52" s="586"/>
      <c r="L52" s="586"/>
      <c r="M52" s="73"/>
      <c r="N52" s="138"/>
      <c r="O52" s="135"/>
      <c r="P52" s="138"/>
    </row>
    <row r="53" spans="1:16">
      <c r="A53" s="73"/>
      <c r="B53" s="321"/>
      <c r="C53" s="62"/>
      <c r="D53" s="73"/>
      <c r="E53" s="73"/>
      <c r="F53" s="73"/>
      <c r="G53" s="73"/>
      <c r="H53" s="73"/>
      <c r="I53" s="73"/>
      <c r="J53" s="73"/>
      <c r="K53" s="73"/>
      <c r="L53" s="73"/>
      <c r="M53" s="73"/>
      <c r="N53" s="73"/>
      <c r="O53" s="73"/>
      <c r="P53" s="73"/>
    </row>
    <row r="54" spans="1:16" ht="15" customHeight="1">
      <c r="A54" s="73"/>
      <c r="B54" s="321" t="s">
        <v>187</v>
      </c>
      <c r="C54" s="61" t="s">
        <v>188</v>
      </c>
      <c r="D54" s="73"/>
      <c r="E54" s="73"/>
      <c r="F54" s="73"/>
      <c r="G54" s="73"/>
      <c r="H54" s="73"/>
      <c r="I54" s="73"/>
      <c r="J54" s="73"/>
      <c r="K54" s="73"/>
      <c r="L54" s="73"/>
      <c r="M54" s="73"/>
      <c r="N54" s="73"/>
      <c r="O54" s="73"/>
      <c r="P54" s="73"/>
    </row>
    <row r="55" spans="1:16">
      <c r="A55" s="73"/>
      <c r="B55" s="321"/>
      <c r="C55" s="586" t="s">
        <v>189</v>
      </c>
      <c r="D55" s="586"/>
      <c r="E55" s="586"/>
      <c r="F55" s="586"/>
      <c r="G55" s="586"/>
      <c r="H55" s="586"/>
      <c r="I55" s="586"/>
      <c r="J55" s="586"/>
      <c r="K55" s="586"/>
      <c r="L55" s="586"/>
      <c r="M55" s="73"/>
      <c r="N55" s="73"/>
      <c r="O55" s="73"/>
      <c r="P55" s="73"/>
    </row>
    <row r="56" spans="1:16">
      <c r="A56" s="73"/>
      <c r="B56" s="321"/>
      <c r="C56" s="586"/>
      <c r="D56" s="586"/>
      <c r="E56" s="586"/>
      <c r="F56" s="586"/>
      <c r="G56" s="586"/>
      <c r="H56" s="586"/>
      <c r="I56" s="586"/>
      <c r="J56" s="586"/>
      <c r="K56" s="586"/>
      <c r="L56" s="586"/>
      <c r="M56" s="73"/>
      <c r="N56" s="73"/>
      <c r="O56" s="73"/>
      <c r="P56" s="73"/>
    </row>
    <row r="57" spans="1:16">
      <c r="A57" s="73"/>
      <c r="B57" s="321"/>
      <c r="C57" s="62"/>
      <c r="D57" s="73"/>
      <c r="E57" s="73"/>
      <c r="F57" s="73"/>
      <c r="G57" s="73"/>
      <c r="H57" s="73"/>
      <c r="I57" s="73"/>
      <c r="J57" s="73"/>
      <c r="K57" s="73"/>
      <c r="L57" s="73"/>
      <c r="M57" s="73"/>
      <c r="N57" s="73"/>
      <c r="O57" s="73"/>
      <c r="P57" s="73"/>
    </row>
    <row r="58" spans="1:16" ht="15" customHeight="1">
      <c r="A58" s="73"/>
      <c r="B58" s="321" t="s">
        <v>190</v>
      </c>
      <c r="C58" s="61" t="s">
        <v>191</v>
      </c>
      <c r="D58" s="73"/>
      <c r="E58" s="73"/>
      <c r="F58" s="73"/>
      <c r="G58" s="73"/>
      <c r="H58" s="73"/>
      <c r="I58" s="73"/>
      <c r="J58" s="73"/>
      <c r="K58" s="73"/>
      <c r="L58" s="73"/>
      <c r="M58" s="73"/>
      <c r="N58" s="73"/>
      <c r="O58" s="73"/>
      <c r="P58" s="73"/>
    </row>
    <row r="59" spans="1:16">
      <c r="A59" s="73"/>
      <c r="B59" s="321"/>
      <c r="C59" s="586" t="s">
        <v>548</v>
      </c>
      <c r="D59" s="586"/>
      <c r="E59" s="586"/>
      <c r="F59" s="586"/>
      <c r="G59" s="586"/>
      <c r="H59" s="586"/>
      <c r="I59" s="586"/>
      <c r="J59" s="586"/>
      <c r="K59" s="586"/>
      <c r="L59" s="586"/>
      <c r="M59" s="73"/>
      <c r="N59" s="73"/>
      <c r="O59" s="73"/>
      <c r="P59" s="73"/>
    </row>
    <row r="60" spans="1:16">
      <c r="A60" s="73"/>
      <c r="B60" s="321"/>
      <c r="C60" s="586"/>
      <c r="D60" s="586"/>
      <c r="E60" s="586"/>
      <c r="F60" s="586"/>
      <c r="G60" s="586"/>
      <c r="H60" s="586"/>
      <c r="I60" s="586"/>
      <c r="J60" s="586"/>
      <c r="K60" s="586"/>
      <c r="L60" s="586"/>
      <c r="M60" s="73"/>
      <c r="N60" s="73"/>
      <c r="O60" s="73"/>
      <c r="P60" s="73"/>
    </row>
    <row r="61" spans="1:16">
      <c r="A61" s="73"/>
      <c r="B61" s="321"/>
      <c r="C61" s="73"/>
      <c r="D61" s="73"/>
      <c r="E61" s="73"/>
      <c r="F61" s="73"/>
      <c r="G61" s="73"/>
      <c r="H61" s="73"/>
      <c r="I61" s="73"/>
      <c r="J61" s="73"/>
      <c r="K61" s="73"/>
      <c r="L61" s="73"/>
      <c r="M61" s="73"/>
      <c r="N61" s="73"/>
      <c r="O61" s="73"/>
      <c r="P61" s="73"/>
    </row>
    <row r="62" spans="1:16" ht="15" customHeight="1">
      <c r="A62" s="73"/>
      <c r="B62" s="321" t="s">
        <v>192</v>
      </c>
      <c r="C62" s="61" t="s">
        <v>193</v>
      </c>
      <c r="D62" s="73"/>
      <c r="E62" s="73"/>
      <c r="F62" s="73"/>
      <c r="G62" s="73"/>
      <c r="H62" s="73"/>
      <c r="I62" s="73"/>
      <c r="J62" s="73"/>
      <c r="K62" s="73"/>
      <c r="L62" s="73"/>
      <c r="M62" s="73"/>
      <c r="N62" s="73"/>
      <c r="O62" s="73"/>
      <c r="P62" s="73"/>
    </row>
    <row r="63" spans="1:16">
      <c r="A63" s="73"/>
      <c r="B63" s="321"/>
      <c r="C63" s="586" t="s">
        <v>531</v>
      </c>
      <c r="D63" s="586"/>
      <c r="E63" s="586"/>
      <c r="F63" s="586"/>
      <c r="G63" s="586"/>
      <c r="H63" s="586"/>
      <c r="I63" s="586"/>
      <c r="J63" s="586"/>
      <c r="K63" s="586"/>
      <c r="L63" s="586"/>
      <c r="M63" s="62"/>
      <c r="N63" s="62"/>
      <c r="O63" s="73"/>
      <c r="P63" s="73"/>
    </row>
    <row r="64" spans="1:16">
      <c r="A64" s="73"/>
      <c r="B64" s="321"/>
      <c r="C64" s="586"/>
      <c r="D64" s="586"/>
      <c r="E64" s="586"/>
      <c r="F64" s="586"/>
      <c r="G64" s="586"/>
      <c r="H64" s="586"/>
      <c r="I64" s="586"/>
      <c r="J64" s="586"/>
      <c r="K64" s="586"/>
      <c r="L64" s="586"/>
      <c r="M64" s="62"/>
      <c r="N64" s="62"/>
      <c r="O64" s="73"/>
      <c r="P64" s="73"/>
    </row>
    <row r="65" spans="1:16">
      <c r="A65" s="73"/>
      <c r="B65" s="321"/>
      <c r="C65" s="213"/>
      <c r="D65" s="62"/>
      <c r="E65" s="62"/>
      <c r="F65" s="62"/>
      <c r="G65" s="62"/>
      <c r="H65" s="62"/>
      <c r="I65" s="62"/>
      <c r="J65" s="62"/>
      <c r="K65" s="62"/>
      <c r="L65" s="62"/>
      <c r="M65" s="62"/>
      <c r="N65" s="62"/>
      <c r="O65" s="73"/>
      <c r="P65" s="73"/>
    </row>
    <row r="66" spans="1:16">
      <c r="A66" s="73"/>
      <c r="B66" s="321"/>
      <c r="C66" s="594" t="s">
        <v>563</v>
      </c>
      <c r="D66" s="594"/>
      <c r="E66" s="594"/>
      <c r="F66" s="594"/>
      <c r="G66" s="594"/>
      <c r="H66" s="594"/>
      <c r="I66" s="594"/>
      <c r="J66" s="594"/>
      <c r="K66" s="594"/>
      <c r="L66" s="594"/>
      <c r="M66" s="179"/>
      <c r="N66" s="179"/>
      <c r="O66" s="73"/>
      <c r="P66" s="73"/>
    </row>
    <row r="67" spans="1:16">
      <c r="A67" s="73"/>
      <c r="B67" s="321"/>
      <c r="C67" s="594"/>
      <c r="D67" s="594"/>
      <c r="E67" s="594"/>
      <c r="F67" s="594"/>
      <c r="G67" s="594"/>
      <c r="H67" s="594"/>
      <c r="I67" s="594"/>
      <c r="J67" s="594"/>
      <c r="K67" s="594"/>
      <c r="L67" s="594"/>
      <c r="M67" s="179"/>
      <c r="N67" s="179"/>
      <c r="O67" s="73"/>
      <c r="P67" s="73"/>
    </row>
    <row r="68" spans="1:16">
      <c r="A68" s="73"/>
      <c r="B68" s="321"/>
      <c r="C68" s="594"/>
      <c r="D68" s="594"/>
      <c r="E68" s="594"/>
      <c r="F68" s="594"/>
      <c r="G68" s="594"/>
      <c r="H68" s="594"/>
      <c r="I68" s="594"/>
      <c r="J68" s="594"/>
      <c r="K68" s="594"/>
      <c r="L68" s="594"/>
      <c r="M68" s="179"/>
      <c r="N68" s="179"/>
      <c r="O68" s="73"/>
      <c r="P68" s="73"/>
    </row>
    <row r="69" spans="1:16">
      <c r="A69" s="73"/>
      <c r="B69" s="321"/>
      <c r="C69" s="566"/>
      <c r="D69" s="566"/>
      <c r="E69" s="566"/>
      <c r="F69" s="566"/>
      <c r="G69" s="566"/>
      <c r="H69" s="566"/>
      <c r="I69" s="566"/>
      <c r="J69" s="566"/>
      <c r="K69" s="566"/>
      <c r="L69" s="566"/>
      <c r="M69" s="179"/>
      <c r="N69" s="179"/>
      <c r="O69" s="73"/>
      <c r="P69" s="73"/>
    </row>
    <row r="70" spans="1:16">
      <c r="A70" s="73"/>
      <c r="B70" s="321"/>
      <c r="C70" s="601" t="s">
        <v>549</v>
      </c>
      <c r="D70" s="593"/>
      <c r="E70" s="593"/>
      <c r="F70" s="593"/>
      <c r="G70" s="593"/>
      <c r="H70" s="593"/>
      <c r="I70" s="593"/>
      <c r="J70" s="593"/>
      <c r="K70" s="593"/>
      <c r="L70" s="593"/>
      <c r="M70" s="179"/>
      <c r="N70" s="179"/>
      <c r="O70" s="73"/>
      <c r="P70" s="73"/>
    </row>
    <row r="71" spans="1:16">
      <c r="A71" s="73"/>
      <c r="B71" s="321"/>
      <c r="C71" s="593"/>
      <c r="D71" s="593"/>
      <c r="E71" s="593"/>
      <c r="F71" s="593"/>
      <c r="G71" s="593"/>
      <c r="H71" s="593"/>
      <c r="I71" s="593"/>
      <c r="J71" s="593"/>
      <c r="K71" s="593"/>
      <c r="L71" s="593"/>
      <c r="M71" s="179"/>
      <c r="N71" s="179"/>
      <c r="O71" s="73"/>
      <c r="P71" s="73"/>
    </row>
    <row r="72" spans="1:16" ht="15" customHeight="1">
      <c r="A72" s="73"/>
      <c r="B72" s="321"/>
      <c r="C72" s="593"/>
      <c r="D72" s="593"/>
      <c r="E72" s="593"/>
      <c r="F72" s="593"/>
      <c r="G72" s="593"/>
      <c r="H72" s="593"/>
      <c r="I72" s="593"/>
      <c r="J72" s="593"/>
      <c r="K72" s="593"/>
      <c r="L72" s="593"/>
      <c r="M72" s="179"/>
      <c r="N72" s="179"/>
      <c r="O72" s="73"/>
      <c r="P72" s="73"/>
    </row>
    <row r="73" spans="1:16">
      <c r="A73" s="73"/>
      <c r="B73" s="321"/>
      <c r="C73" s="593"/>
      <c r="D73" s="593"/>
      <c r="E73" s="593"/>
      <c r="F73" s="593"/>
      <c r="G73" s="593"/>
      <c r="H73" s="593"/>
      <c r="I73" s="593"/>
      <c r="J73" s="593"/>
      <c r="K73" s="593"/>
      <c r="L73" s="593"/>
      <c r="M73" s="179"/>
      <c r="N73" s="179"/>
      <c r="O73" s="73"/>
      <c r="P73" s="73"/>
    </row>
    <row r="74" spans="1:16">
      <c r="A74" s="73"/>
      <c r="B74" s="321"/>
      <c r="C74" s="593"/>
      <c r="D74" s="593"/>
      <c r="E74" s="593"/>
      <c r="F74" s="593"/>
      <c r="G74" s="593"/>
      <c r="H74" s="593"/>
      <c r="I74" s="593"/>
      <c r="J74" s="593"/>
      <c r="K74" s="593"/>
      <c r="L74" s="593"/>
      <c r="M74" s="179"/>
      <c r="N74" s="179"/>
      <c r="O74" s="73"/>
      <c r="P74" s="73"/>
    </row>
    <row r="75" spans="1:16">
      <c r="A75" s="73"/>
      <c r="B75" s="321"/>
      <c r="C75" s="593"/>
      <c r="D75" s="593"/>
      <c r="E75" s="593"/>
      <c r="F75" s="593"/>
      <c r="G75" s="593"/>
      <c r="H75" s="593"/>
      <c r="I75" s="593"/>
      <c r="J75" s="593"/>
      <c r="K75" s="593"/>
      <c r="L75" s="593"/>
      <c r="M75" s="179"/>
      <c r="N75" s="179"/>
      <c r="O75" s="73"/>
      <c r="P75" s="73"/>
    </row>
    <row r="76" spans="1:16">
      <c r="A76" s="73"/>
      <c r="B76" s="321"/>
      <c r="C76" s="593"/>
      <c r="D76" s="593"/>
      <c r="E76" s="593"/>
      <c r="F76" s="593"/>
      <c r="G76" s="593"/>
      <c r="H76" s="593"/>
      <c r="I76" s="593"/>
      <c r="J76" s="593"/>
      <c r="K76" s="593"/>
      <c r="L76" s="593"/>
      <c r="M76" s="179"/>
      <c r="N76" s="179"/>
      <c r="O76" s="73"/>
      <c r="P76" s="73"/>
    </row>
    <row r="77" spans="1:16">
      <c r="A77" s="73"/>
      <c r="B77" s="321"/>
      <c r="C77" s="593"/>
      <c r="D77" s="593"/>
      <c r="E77" s="593"/>
      <c r="F77" s="593"/>
      <c r="G77" s="593"/>
      <c r="H77" s="593"/>
      <c r="I77" s="593"/>
      <c r="J77" s="593"/>
      <c r="K77" s="593"/>
      <c r="L77" s="593"/>
      <c r="M77" s="179"/>
      <c r="N77" s="179"/>
      <c r="O77" s="73"/>
      <c r="P77" s="73"/>
    </row>
    <row r="78" spans="1:16">
      <c r="A78" s="73"/>
      <c r="B78" s="321"/>
      <c r="C78" s="532"/>
      <c r="D78" s="532"/>
      <c r="E78" s="532"/>
      <c r="F78" s="532"/>
      <c r="G78" s="532"/>
      <c r="H78" s="532"/>
      <c r="I78" s="532"/>
      <c r="J78" s="532"/>
      <c r="K78" s="532"/>
      <c r="L78" s="532"/>
      <c r="M78" s="179"/>
      <c r="N78" s="179"/>
      <c r="O78" s="73"/>
      <c r="P78" s="73"/>
    </row>
    <row r="79" spans="1:16">
      <c r="A79" s="73"/>
      <c r="B79" s="321"/>
      <c r="C79" s="600" t="s">
        <v>550</v>
      </c>
      <c r="D79" s="600"/>
      <c r="E79" s="600"/>
      <c r="F79" s="600"/>
      <c r="G79" s="600"/>
      <c r="H79" s="600"/>
      <c r="I79" s="600"/>
      <c r="J79" s="600"/>
      <c r="K79" s="600"/>
      <c r="L79" s="600"/>
      <c r="M79" s="179"/>
      <c r="N79" s="179"/>
      <c r="O79" s="73"/>
      <c r="P79" s="73"/>
    </row>
    <row r="80" spans="1:16">
      <c r="A80" s="73"/>
      <c r="B80" s="321"/>
      <c r="C80" s="600"/>
      <c r="D80" s="600"/>
      <c r="E80" s="600"/>
      <c r="F80" s="600"/>
      <c r="G80" s="600"/>
      <c r="H80" s="600"/>
      <c r="I80" s="600"/>
      <c r="J80" s="600"/>
      <c r="K80" s="600"/>
      <c r="L80" s="600"/>
      <c r="M80" s="179"/>
      <c r="N80" s="179"/>
      <c r="O80" s="73"/>
      <c r="P80" s="73"/>
    </row>
    <row r="81" spans="1:16">
      <c r="A81" s="73"/>
      <c r="B81" s="321"/>
      <c r="C81" s="600"/>
      <c r="D81" s="600"/>
      <c r="E81" s="600"/>
      <c r="F81" s="600"/>
      <c r="G81" s="600"/>
      <c r="H81" s="600"/>
      <c r="I81" s="600"/>
      <c r="J81" s="600"/>
      <c r="K81" s="600"/>
      <c r="L81" s="600"/>
      <c r="M81" s="179"/>
      <c r="N81" s="179"/>
      <c r="O81" s="73"/>
      <c r="P81" s="73"/>
    </row>
    <row r="82" spans="1:16">
      <c r="A82" s="73"/>
      <c r="B82" s="321"/>
      <c r="C82" s="600"/>
      <c r="D82" s="600"/>
      <c r="E82" s="600"/>
      <c r="F82" s="600"/>
      <c r="G82" s="600"/>
      <c r="H82" s="600"/>
      <c r="I82" s="600"/>
      <c r="J82" s="600"/>
      <c r="K82" s="600"/>
      <c r="L82" s="600"/>
      <c r="M82" s="179"/>
      <c r="N82" s="179"/>
      <c r="O82" s="73"/>
      <c r="P82" s="73"/>
    </row>
    <row r="83" spans="1:16">
      <c r="A83" s="73"/>
      <c r="B83" s="321"/>
      <c r="C83" s="532"/>
      <c r="D83" s="532"/>
      <c r="E83" s="532"/>
      <c r="F83" s="532"/>
      <c r="G83" s="532"/>
      <c r="H83" s="532"/>
      <c r="I83" s="532"/>
      <c r="J83" s="532"/>
      <c r="K83" s="532"/>
      <c r="L83" s="532"/>
      <c r="M83" s="179"/>
      <c r="N83" s="179"/>
      <c r="O83" s="73"/>
      <c r="P83" s="73"/>
    </row>
    <row r="84" spans="1:16">
      <c r="A84" s="73"/>
      <c r="B84" s="321"/>
      <c r="C84" s="594" t="s">
        <v>534</v>
      </c>
      <c r="D84" s="594"/>
      <c r="E84" s="594"/>
      <c r="F84" s="594"/>
      <c r="G84" s="594"/>
      <c r="H84" s="594"/>
      <c r="I84" s="594"/>
      <c r="J84" s="594"/>
      <c r="K84" s="594"/>
      <c r="L84" s="594"/>
      <c r="M84" s="179"/>
      <c r="N84" s="179"/>
      <c r="O84" s="73"/>
      <c r="P84" s="73"/>
    </row>
    <row r="85" spans="1:16">
      <c r="A85" s="73"/>
      <c r="B85" s="321"/>
      <c r="C85" s="594"/>
      <c r="D85" s="594"/>
      <c r="E85" s="594"/>
      <c r="F85" s="594"/>
      <c r="G85" s="594"/>
      <c r="H85" s="594"/>
      <c r="I85" s="594"/>
      <c r="J85" s="594"/>
      <c r="K85" s="594"/>
      <c r="L85" s="594"/>
      <c r="M85" s="179"/>
      <c r="N85" s="179"/>
      <c r="O85" s="73"/>
      <c r="P85" s="73"/>
    </row>
    <row r="86" spans="1:16">
      <c r="A86" s="73"/>
      <c r="B86" s="321"/>
      <c r="C86" s="179"/>
      <c r="D86" s="179"/>
      <c r="E86" s="179"/>
      <c r="F86" s="179"/>
      <c r="G86" s="179"/>
      <c r="H86" s="179"/>
      <c r="I86" s="179"/>
      <c r="J86" s="179"/>
      <c r="K86" s="179"/>
      <c r="L86" s="179"/>
      <c r="M86" s="179"/>
      <c r="N86" s="179"/>
      <c r="O86" s="73"/>
      <c r="P86" s="73"/>
    </row>
    <row r="87" spans="1:16">
      <c r="A87" s="73"/>
      <c r="B87" s="321"/>
      <c r="C87" s="179"/>
      <c r="D87" s="546" t="s">
        <v>571</v>
      </c>
      <c r="E87" s="546" t="s">
        <v>573</v>
      </c>
      <c r="F87" s="546"/>
      <c r="G87" s="597" t="s">
        <v>551</v>
      </c>
      <c r="H87" s="546"/>
      <c r="I87" s="546"/>
      <c r="J87" s="546"/>
      <c r="K87" s="546"/>
      <c r="L87" s="546"/>
      <c r="M87" s="179"/>
      <c r="N87" s="179"/>
      <c r="O87" s="73"/>
      <c r="P87" s="73"/>
    </row>
    <row r="88" spans="1:16">
      <c r="A88" s="73"/>
      <c r="B88" s="321"/>
      <c r="C88" s="179"/>
      <c r="D88" s="546" t="s">
        <v>572</v>
      </c>
      <c r="E88" s="546" t="s">
        <v>572</v>
      </c>
      <c r="F88" s="546"/>
      <c r="G88" s="597"/>
      <c r="H88" s="546"/>
      <c r="I88" s="546"/>
      <c r="J88" s="546"/>
      <c r="K88" s="546"/>
      <c r="L88" s="546"/>
      <c r="M88" s="179"/>
      <c r="N88" s="179"/>
      <c r="O88" s="73"/>
      <c r="P88" s="73"/>
    </row>
    <row r="89" spans="1:16">
      <c r="A89" s="73"/>
      <c r="B89" s="321"/>
      <c r="C89" s="179" t="s">
        <v>480</v>
      </c>
      <c r="D89" s="546" t="s">
        <v>5</v>
      </c>
      <c r="E89" s="546" t="s">
        <v>5</v>
      </c>
      <c r="F89" s="546"/>
      <c r="G89" s="546" t="s">
        <v>5</v>
      </c>
      <c r="H89" s="546"/>
      <c r="I89" s="546" t="s">
        <v>481</v>
      </c>
      <c r="J89" s="546"/>
      <c r="K89" s="546"/>
      <c r="L89" s="546" t="s">
        <v>482</v>
      </c>
      <c r="M89" s="179"/>
      <c r="N89" s="179"/>
      <c r="O89" s="73"/>
      <c r="P89" s="73"/>
    </row>
    <row r="90" spans="1:16">
      <c r="A90" s="73"/>
      <c r="B90" s="321"/>
      <c r="C90" s="179"/>
      <c r="D90" s="179"/>
      <c r="E90" s="179"/>
      <c r="F90" s="179"/>
      <c r="G90" s="179"/>
      <c r="H90" s="179"/>
      <c r="I90" s="179"/>
      <c r="J90" s="179"/>
      <c r="K90" s="179"/>
      <c r="L90" s="179"/>
      <c r="M90" s="179"/>
      <c r="N90" s="179"/>
      <c r="O90" s="73"/>
      <c r="P90" s="73"/>
    </row>
    <row r="91" spans="1:16">
      <c r="A91" s="73"/>
      <c r="B91" s="321"/>
      <c r="C91" s="179" t="s">
        <v>483</v>
      </c>
      <c r="D91" s="546">
        <v>998</v>
      </c>
      <c r="E91" s="546">
        <v>998</v>
      </c>
      <c r="F91" s="546"/>
      <c r="G91" s="568" t="s">
        <v>153</v>
      </c>
      <c r="H91" s="546"/>
      <c r="I91" s="569" t="s">
        <v>153</v>
      </c>
      <c r="J91" s="179"/>
      <c r="K91" s="179"/>
      <c r="L91" s="179" t="s">
        <v>484</v>
      </c>
      <c r="M91" s="179"/>
      <c r="N91" s="179"/>
      <c r="O91" s="73"/>
      <c r="P91" s="73"/>
    </row>
    <row r="92" spans="1:16">
      <c r="A92" s="73"/>
      <c r="B92" s="321"/>
      <c r="C92" s="179" t="s">
        <v>485</v>
      </c>
      <c r="D92" s="546">
        <v>80</v>
      </c>
      <c r="E92" s="546">
        <v>53</v>
      </c>
      <c r="F92" s="546"/>
      <c r="G92" s="546">
        <v>27</v>
      </c>
      <c r="H92" s="546"/>
      <c r="I92" s="546">
        <v>34</v>
      </c>
      <c r="J92" s="179"/>
      <c r="K92" s="179"/>
      <c r="L92" s="594" t="s">
        <v>486</v>
      </c>
      <c r="M92" s="179"/>
      <c r="N92" s="179"/>
      <c r="O92" s="73"/>
      <c r="P92" s="73"/>
    </row>
    <row r="93" spans="1:16">
      <c r="A93" s="73"/>
      <c r="B93" s="321"/>
      <c r="C93" s="179"/>
      <c r="D93" s="546"/>
      <c r="E93" s="546"/>
      <c r="F93" s="546"/>
      <c r="G93" s="546"/>
      <c r="H93" s="546"/>
      <c r="I93" s="546"/>
      <c r="J93" s="179"/>
      <c r="K93" s="179"/>
      <c r="L93" s="594"/>
      <c r="M93" s="179"/>
      <c r="N93" s="179"/>
      <c r="O93" s="73"/>
      <c r="P93" s="73"/>
    </row>
    <row r="94" spans="1:16">
      <c r="A94" s="73"/>
      <c r="B94" s="321"/>
      <c r="C94" s="179"/>
      <c r="D94" s="546"/>
      <c r="E94" s="546"/>
      <c r="F94" s="546"/>
      <c r="G94" s="546"/>
      <c r="H94" s="546"/>
      <c r="I94" s="546"/>
      <c r="J94" s="179"/>
      <c r="K94" s="179"/>
      <c r="L94" s="594"/>
      <c r="M94" s="179"/>
      <c r="N94" s="179"/>
      <c r="O94" s="73"/>
      <c r="P94" s="73"/>
    </row>
    <row r="95" spans="1:16">
      <c r="A95" s="73"/>
      <c r="B95" s="321"/>
      <c r="C95" s="365"/>
      <c r="D95" s="236"/>
      <c r="E95" s="236"/>
      <c r="F95" s="236"/>
      <c r="G95" s="236"/>
      <c r="H95" s="539"/>
      <c r="I95" s="236"/>
      <c r="J95" s="365"/>
      <c r="K95" s="365"/>
      <c r="L95" s="595"/>
      <c r="M95" s="179"/>
      <c r="N95" s="179"/>
      <c r="O95" s="73"/>
      <c r="P95" s="73"/>
    </row>
    <row r="96" spans="1:16">
      <c r="A96" s="73"/>
      <c r="B96" s="321"/>
      <c r="C96" s="570"/>
      <c r="D96" s="547">
        <f>SUM(D91:D92)</f>
        <v>1078</v>
      </c>
      <c r="E96" s="547">
        <f>SUM(E91:E92)</f>
        <v>1051</v>
      </c>
      <c r="F96" s="547"/>
      <c r="G96" s="547">
        <f>SUM(G91:G92)</f>
        <v>27</v>
      </c>
      <c r="H96" s="551"/>
      <c r="I96" s="547">
        <v>34</v>
      </c>
      <c r="J96" s="547"/>
      <c r="K96" s="551"/>
      <c r="L96" s="551"/>
      <c r="M96" s="179"/>
      <c r="N96" s="179"/>
      <c r="O96" s="73"/>
      <c r="P96" s="73"/>
    </row>
    <row r="97" spans="1:16">
      <c r="A97" s="73"/>
      <c r="B97" s="321"/>
      <c r="C97" s="365"/>
      <c r="D97" s="365"/>
      <c r="E97" s="365"/>
      <c r="F97" s="365"/>
      <c r="G97" s="365"/>
      <c r="H97" s="365"/>
      <c r="I97" s="365"/>
      <c r="J97" s="365"/>
      <c r="K97" s="365"/>
      <c r="L97" s="365"/>
      <c r="M97" s="179"/>
      <c r="N97" s="179"/>
      <c r="O97" s="73"/>
      <c r="P97" s="73"/>
    </row>
    <row r="98" spans="1:16" ht="15" customHeight="1">
      <c r="A98" s="73"/>
      <c r="B98" s="321" t="s">
        <v>194</v>
      </c>
      <c r="C98" s="61" t="s">
        <v>195</v>
      </c>
      <c r="D98" s="73"/>
      <c r="E98" s="73"/>
      <c r="F98" s="73"/>
      <c r="G98" s="73"/>
      <c r="H98" s="73"/>
      <c r="I98" s="73"/>
      <c r="J98" s="73"/>
      <c r="K98" s="73"/>
      <c r="L98" s="73"/>
      <c r="M98" s="72"/>
      <c r="N98" s="72"/>
      <c r="O98" s="72"/>
      <c r="P98" s="72"/>
    </row>
    <row r="99" spans="1:16">
      <c r="A99" s="73"/>
      <c r="B99" s="321"/>
      <c r="C99" s="62" t="s">
        <v>553</v>
      </c>
      <c r="D99" s="73"/>
      <c r="E99" s="73"/>
      <c r="F99" s="73"/>
      <c r="G99" s="73"/>
      <c r="H99" s="73"/>
      <c r="I99" s="73"/>
      <c r="J99" s="73"/>
      <c r="K99" s="73"/>
      <c r="L99" s="73"/>
      <c r="M99" s="72"/>
      <c r="N99" s="72"/>
      <c r="O99" s="72"/>
      <c r="P99" s="72"/>
    </row>
    <row r="100" spans="1:16">
      <c r="A100" s="73"/>
      <c r="B100" s="321"/>
      <c r="C100" s="62"/>
      <c r="D100" s="73"/>
      <c r="E100" s="73"/>
      <c r="F100" s="73"/>
      <c r="G100" s="73"/>
      <c r="H100" s="73"/>
      <c r="I100" s="73"/>
      <c r="J100" s="73"/>
      <c r="K100" s="73"/>
      <c r="L100" s="153"/>
      <c r="M100" s="72"/>
      <c r="N100" s="72"/>
      <c r="O100" s="72"/>
      <c r="P100" s="72"/>
    </row>
    <row r="101" spans="1:16">
      <c r="A101" s="73"/>
      <c r="B101" s="321"/>
      <c r="C101" s="62"/>
      <c r="D101" s="73"/>
      <c r="E101" s="153"/>
      <c r="F101" s="153"/>
      <c r="G101" s="153"/>
      <c r="H101" s="147"/>
      <c r="I101" s="146" t="s">
        <v>212</v>
      </c>
      <c r="J101" s="68"/>
      <c r="K101" s="68"/>
      <c r="L101" s="68" t="s">
        <v>13</v>
      </c>
      <c r="M101" s="72"/>
      <c r="N101" s="72"/>
      <c r="O101" s="72"/>
      <c r="P101" s="72"/>
    </row>
    <row r="102" spans="1:16" ht="15" customHeight="1">
      <c r="A102" s="73"/>
      <c r="B102" s="321"/>
      <c r="C102" s="62"/>
      <c r="D102" s="73"/>
      <c r="E102" s="153"/>
      <c r="F102" s="153"/>
      <c r="G102" s="153"/>
      <c r="H102" s="147"/>
      <c r="I102" s="598" t="s">
        <v>390</v>
      </c>
      <c r="J102" s="68"/>
      <c r="K102" s="68"/>
      <c r="L102" s="596" t="s">
        <v>388</v>
      </c>
      <c r="M102" s="72"/>
      <c r="N102" s="72"/>
      <c r="O102" s="72"/>
      <c r="P102" s="72"/>
    </row>
    <row r="103" spans="1:16" ht="15" customHeight="1">
      <c r="A103" s="73"/>
      <c r="B103" s="321"/>
      <c r="C103" s="62"/>
      <c r="D103" s="73"/>
      <c r="E103" s="153"/>
      <c r="F103" s="153"/>
      <c r="G103" s="153"/>
      <c r="H103" s="147"/>
      <c r="I103" s="598"/>
      <c r="J103" s="68"/>
      <c r="K103" s="68"/>
      <c r="L103" s="596"/>
      <c r="M103" s="72"/>
      <c r="N103" s="72"/>
      <c r="O103" s="72"/>
      <c r="P103" s="72"/>
    </row>
    <row r="104" spans="1:16">
      <c r="A104" s="73"/>
      <c r="B104" s="321"/>
      <c r="C104" s="62"/>
      <c r="D104" s="73"/>
      <c r="E104" s="153"/>
      <c r="F104" s="153"/>
      <c r="G104" s="153"/>
      <c r="H104" s="147"/>
      <c r="I104" s="146" t="s">
        <v>210</v>
      </c>
      <c r="J104" s="68"/>
      <c r="K104" s="68"/>
      <c r="L104" s="68" t="str">
        <f>I104</f>
        <v>RM '000</v>
      </c>
      <c r="M104" s="143"/>
      <c r="N104" s="143"/>
      <c r="O104" s="72"/>
      <c r="P104" s="72"/>
    </row>
    <row r="105" spans="1:16">
      <c r="A105" s="73"/>
      <c r="B105" s="321"/>
      <c r="C105" s="62" t="s">
        <v>530</v>
      </c>
      <c r="D105" s="73"/>
      <c r="E105" s="73"/>
      <c r="F105" s="73"/>
      <c r="G105" s="73"/>
      <c r="H105" s="73"/>
      <c r="I105" s="153"/>
      <c r="J105" s="73"/>
      <c r="K105" s="73"/>
      <c r="L105" s="153"/>
      <c r="M105" s="143"/>
      <c r="N105" s="143"/>
      <c r="O105" s="72"/>
      <c r="P105" s="72"/>
    </row>
    <row r="106" spans="1:16">
      <c r="A106" s="73"/>
      <c r="B106" s="321"/>
      <c r="C106" s="62" t="s">
        <v>133</v>
      </c>
      <c r="D106" s="73"/>
      <c r="E106" s="153"/>
      <c r="F106" s="153"/>
      <c r="G106" s="153"/>
      <c r="H106" s="146"/>
      <c r="I106" s="552">
        <f ca="1">WBS!X40/1000</f>
        <v>1419.2681800000003</v>
      </c>
      <c r="J106" s="553"/>
      <c r="K106" s="553"/>
      <c r="L106" s="552">
        <v>1839.2870100000002</v>
      </c>
      <c r="M106" s="143"/>
      <c r="N106" s="143"/>
      <c r="O106" s="72"/>
      <c r="P106" s="72"/>
    </row>
    <row r="107" spans="1:16">
      <c r="A107" s="73"/>
      <c r="B107" s="321"/>
      <c r="C107" s="62" t="s">
        <v>213</v>
      </c>
      <c r="D107" s="73"/>
      <c r="E107" s="153"/>
      <c r="F107" s="153"/>
      <c r="G107" s="153"/>
      <c r="H107" s="146"/>
      <c r="I107" s="552">
        <f ca="1">WBS!X41/1000</f>
        <v>2475.89</v>
      </c>
      <c r="J107" s="553"/>
      <c r="K107" s="553"/>
      <c r="L107" s="552">
        <v>2306.6424999999999</v>
      </c>
      <c r="M107" s="143"/>
      <c r="N107" s="143"/>
      <c r="O107" s="72"/>
      <c r="P107" s="72"/>
    </row>
    <row r="108" spans="1:16">
      <c r="A108" s="73"/>
      <c r="B108" s="321"/>
      <c r="C108" s="62" t="s">
        <v>552</v>
      </c>
      <c r="D108" s="73"/>
      <c r="E108" s="153"/>
      <c r="F108" s="153"/>
      <c r="G108" s="153"/>
      <c r="H108" s="146"/>
      <c r="I108" s="552">
        <f ca="1">WBS!X42/1000</f>
        <v>234.14285999999998</v>
      </c>
      <c r="J108" s="553"/>
      <c r="K108" s="553"/>
      <c r="L108" s="552">
        <v>271.14289999999994</v>
      </c>
      <c r="M108" s="143"/>
      <c r="N108" s="143"/>
      <c r="O108" s="72"/>
      <c r="P108" s="72"/>
    </row>
    <row r="109" spans="1:16" s="145" customFormat="1">
      <c r="A109" s="73"/>
      <c r="B109" s="321"/>
      <c r="C109" s="62" t="s">
        <v>214</v>
      </c>
      <c r="D109" s="73"/>
      <c r="E109" s="548"/>
      <c r="F109" s="548"/>
      <c r="G109" s="548"/>
      <c r="H109" s="146"/>
      <c r="I109" s="552">
        <f ca="1">WBS!X43/1000</f>
        <v>204.23583000000002</v>
      </c>
      <c r="J109" s="553"/>
      <c r="K109" s="553"/>
      <c r="L109" s="552">
        <v>164.87427000000002</v>
      </c>
      <c r="M109" s="142"/>
      <c r="N109" s="142"/>
      <c r="O109" s="74"/>
      <c r="P109" s="74"/>
    </row>
    <row r="110" spans="1:16" ht="15" customHeight="1" thickBot="1">
      <c r="A110" s="73"/>
      <c r="B110" s="321"/>
      <c r="C110" s="74" t="s">
        <v>28</v>
      </c>
      <c r="D110" s="73"/>
      <c r="E110" s="153"/>
      <c r="F110" s="153"/>
      <c r="G110" s="153"/>
      <c r="H110" s="149">
        <f>SUM(H106:H109)</f>
        <v>0</v>
      </c>
      <c r="I110" s="554">
        <f>SUM(I106:I109)</f>
        <v>4333.5368699999999</v>
      </c>
      <c r="J110" s="555"/>
      <c r="K110" s="555"/>
      <c r="L110" s="554">
        <v>4581.94668</v>
      </c>
      <c r="M110" s="143"/>
      <c r="N110" s="143"/>
      <c r="O110" s="72"/>
      <c r="P110" s="72"/>
    </row>
    <row r="111" spans="1:16" ht="15.75" thickTop="1">
      <c r="A111" s="73"/>
      <c r="B111" s="321"/>
      <c r="C111" s="62"/>
      <c r="D111" s="73"/>
      <c r="E111" s="73"/>
      <c r="F111" s="73"/>
      <c r="G111" s="73"/>
      <c r="H111" s="73"/>
      <c r="I111" s="556"/>
      <c r="J111" s="553"/>
      <c r="K111" s="553"/>
      <c r="L111" s="553"/>
      <c r="M111" s="143"/>
      <c r="N111" s="143"/>
      <c r="O111" s="72"/>
      <c r="P111" s="72"/>
    </row>
    <row r="112" spans="1:16">
      <c r="A112" s="73"/>
      <c r="B112" s="321"/>
      <c r="C112" s="62" t="s">
        <v>554</v>
      </c>
      <c r="D112" s="73"/>
      <c r="E112" s="73"/>
      <c r="F112" s="73"/>
      <c r="G112" s="73"/>
      <c r="H112" s="73"/>
      <c r="I112" s="557"/>
      <c r="J112" s="558"/>
      <c r="K112" s="558"/>
      <c r="L112" s="558"/>
      <c r="M112" s="143"/>
      <c r="N112" s="143"/>
      <c r="O112" s="72"/>
      <c r="P112" s="72"/>
    </row>
    <row r="113" spans="1:16" ht="15" customHeight="1">
      <c r="A113" s="73"/>
      <c r="B113" s="321"/>
      <c r="C113" s="62"/>
      <c r="D113" s="73"/>
      <c r="E113" s="73"/>
      <c r="F113" s="73"/>
      <c r="G113" s="73"/>
      <c r="H113" s="73"/>
      <c r="I113" s="557"/>
      <c r="J113" s="558"/>
      <c r="K113" s="558"/>
      <c r="L113" s="558"/>
      <c r="M113" s="143"/>
      <c r="N113" s="143"/>
      <c r="O113" s="72"/>
      <c r="P113" s="72"/>
    </row>
    <row r="114" spans="1:16">
      <c r="A114" s="73"/>
      <c r="B114" s="321"/>
      <c r="C114" s="62" t="str">
        <f>C108</f>
        <v>Hire Purchase Creditors</v>
      </c>
      <c r="D114" s="73"/>
      <c r="E114" s="153"/>
      <c r="F114" s="153"/>
      <c r="G114" s="153"/>
      <c r="H114" s="68"/>
      <c r="I114" s="559">
        <f ca="1">WBS!X49/1000</f>
        <v>123.04514</v>
      </c>
      <c r="J114" s="558"/>
      <c r="K114" s="558"/>
      <c r="L114" s="559">
        <v>279.18885000000006</v>
      </c>
      <c r="M114" s="143"/>
      <c r="N114" s="143"/>
      <c r="O114" s="72"/>
      <c r="P114" s="72"/>
    </row>
    <row r="115" spans="1:16" ht="15" customHeight="1">
      <c r="A115" s="73"/>
      <c r="B115" s="321"/>
      <c r="C115" s="62" t="s">
        <v>214</v>
      </c>
      <c r="D115" s="73"/>
      <c r="E115" s="153"/>
      <c r="F115" s="153"/>
      <c r="G115" s="153"/>
      <c r="H115" s="68"/>
      <c r="I115" s="559">
        <f ca="1">WBS!X50/1000</f>
        <v>3991.3978700000002</v>
      </c>
      <c r="J115" s="558"/>
      <c r="K115" s="558"/>
      <c r="L115" s="559">
        <v>4296.6435500000007</v>
      </c>
      <c r="M115" s="72"/>
      <c r="N115" s="72"/>
      <c r="O115" s="72"/>
      <c r="P115" s="72"/>
    </row>
    <row r="116" spans="1:16" ht="15.75" thickBot="1">
      <c r="A116" s="73"/>
      <c r="B116" s="321"/>
      <c r="C116" s="74" t="s">
        <v>28</v>
      </c>
      <c r="D116" s="73"/>
      <c r="E116" s="153"/>
      <c r="F116" s="153"/>
      <c r="G116" s="153"/>
      <c r="H116" s="149">
        <f>SUM(H114:H115)</f>
        <v>0</v>
      </c>
      <c r="I116" s="560">
        <f>SUM(I114:I115)</f>
        <v>4114.44301</v>
      </c>
      <c r="J116" s="558"/>
      <c r="K116" s="558"/>
      <c r="L116" s="560">
        <v>4575.8324000000011</v>
      </c>
      <c r="M116" s="73"/>
      <c r="N116" s="73"/>
      <c r="O116" s="73"/>
      <c r="P116" s="73"/>
    </row>
    <row r="117" spans="1:16" ht="15.75" thickTop="1">
      <c r="A117" s="73"/>
      <c r="B117" s="321"/>
      <c r="C117" s="62"/>
      <c r="D117" s="73"/>
      <c r="E117" s="73"/>
      <c r="F117" s="73"/>
      <c r="G117" s="73"/>
      <c r="H117" s="73"/>
      <c r="I117" s="73"/>
      <c r="J117" s="73"/>
      <c r="K117" s="73"/>
      <c r="L117" s="73"/>
      <c r="M117" s="72"/>
      <c r="N117" s="73"/>
      <c r="O117" s="73"/>
      <c r="P117" s="73"/>
    </row>
    <row r="118" spans="1:16" ht="15" customHeight="1">
      <c r="A118" s="73"/>
      <c r="B118" s="321" t="s">
        <v>196</v>
      </c>
      <c r="C118" s="61" t="s">
        <v>197</v>
      </c>
      <c r="D118" s="73"/>
      <c r="E118" s="73"/>
      <c r="F118" s="73"/>
      <c r="G118" s="73"/>
      <c r="H118" s="73"/>
      <c r="I118" s="73"/>
      <c r="J118" s="73"/>
      <c r="K118" s="73"/>
      <c r="L118" s="73"/>
      <c r="M118" s="72"/>
      <c r="N118" s="73"/>
      <c r="O118" s="73"/>
      <c r="P118" s="73"/>
    </row>
    <row r="119" spans="1:16">
      <c r="A119" s="73"/>
      <c r="B119" s="321"/>
      <c r="C119" s="62" t="s">
        <v>198</v>
      </c>
      <c r="D119" s="73"/>
      <c r="E119" s="73"/>
      <c r="F119" s="73"/>
      <c r="G119" s="73"/>
      <c r="H119" s="73"/>
      <c r="I119" s="73"/>
      <c r="J119" s="73"/>
      <c r="K119" s="73"/>
      <c r="L119" s="73"/>
      <c r="M119" s="72"/>
      <c r="N119" s="73"/>
      <c r="O119" s="73"/>
      <c r="P119" s="73"/>
    </row>
    <row r="120" spans="1:16">
      <c r="A120" s="73"/>
      <c r="B120" s="321"/>
      <c r="C120" s="58"/>
      <c r="D120" s="128"/>
      <c r="E120" s="128"/>
      <c r="F120" s="128"/>
      <c r="G120" s="73"/>
      <c r="H120" s="73"/>
      <c r="I120" s="73"/>
      <c r="J120" s="73"/>
      <c r="K120" s="73"/>
      <c r="L120" s="73"/>
      <c r="M120" s="72"/>
      <c r="N120" s="73"/>
      <c r="O120" s="73"/>
      <c r="P120" s="73"/>
    </row>
    <row r="121" spans="1:16" ht="15" customHeight="1">
      <c r="A121" s="73"/>
      <c r="B121" s="321" t="s">
        <v>199</v>
      </c>
      <c r="C121" s="61" t="s">
        <v>200</v>
      </c>
      <c r="D121" s="128"/>
      <c r="E121" s="128"/>
      <c r="F121" s="128"/>
      <c r="G121" s="73"/>
      <c r="H121" s="73"/>
      <c r="I121" s="73"/>
      <c r="J121" s="73"/>
      <c r="K121" s="73"/>
      <c r="L121" s="73"/>
      <c r="M121" s="73"/>
      <c r="N121" s="72"/>
      <c r="O121" s="72"/>
      <c r="P121" s="139"/>
    </row>
    <row r="122" spans="1:16">
      <c r="A122" s="73"/>
      <c r="B122" s="321"/>
      <c r="C122" s="586" t="s">
        <v>478</v>
      </c>
      <c r="D122" s="586"/>
      <c r="E122" s="586"/>
      <c r="F122" s="586"/>
      <c r="G122" s="586"/>
      <c r="H122" s="586"/>
      <c r="I122" s="586"/>
      <c r="J122" s="586"/>
      <c r="K122" s="586"/>
      <c r="L122" s="586"/>
      <c r="M122" s="73"/>
      <c r="N122" s="73"/>
      <c r="O122" s="73"/>
      <c r="P122" s="73"/>
    </row>
    <row r="123" spans="1:16" s="212" customFormat="1">
      <c r="A123" s="73"/>
      <c r="B123" s="321"/>
      <c r="C123" s="586"/>
      <c r="D123" s="586"/>
      <c r="E123" s="586"/>
      <c r="F123" s="586"/>
      <c r="G123" s="586"/>
      <c r="H123" s="586"/>
      <c r="I123" s="586"/>
      <c r="J123" s="586"/>
      <c r="K123" s="586"/>
      <c r="L123" s="586"/>
      <c r="M123" s="73"/>
      <c r="N123" s="73"/>
      <c r="O123" s="73"/>
      <c r="P123" s="73"/>
    </row>
    <row r="124" spans="1:16">
      <c r="A124" s="73"/>
      <c r="B124" s="321"/>
      <c r="C124" s="58"/>
      <c r="D124" s="128"/>
      <c r="E124" s="128"/>
      <c r="F124" s="128"/>
      <c r="G124" s="73"/>
      <c r="H124" s="73"/>
      <c r="I124" s="73"/>
      <c r="J124" s="73"/>
      <c r="K124" s="73"/>
      <c r="L124" s="73"/>
      <c r="M124" s="73"/>
      <c r="N124" s="73"/>
      <c r="O124" s="73"/>
      <c r="P124" s="73"/>
    </row>
    <row r="125" spans="1:16" ht="15" customHeight="1">
      <c r="A125" s="73"/>
      <c r="B125" s="321" t="s">
        <v>201</v>
      </c>
      <c r="C125" s="61" t="s">
        <v>46</v>
      </c>
      <c r="D125" s="73"/>
      <c r="E125" s="73"/>
      <c r="F125" s="73"/>
      <c r="G125" s="73"/>
      <c r="H125" s="73"/>
      <c r="I125" s="73"/>
      <c r="J125" s="73"/>
      <c r="K125" s="73"/>
      <c r="L125" s="73"/>
      <c r="M125" s="73"/>
      <c r="N125" s="73"/>
      <c r="O125" s="73"/>
      <c r="P125" s="73"/>
    </row>
    <row r="126" spans="1:16">
      <c r="A126" s="73"/>
      <c r="B126" s="321"/>
      <c r="C126" s="586" t="s">
        <v>202</v>
      </c>
      <c r="D126" s="586"/>
      <c r="E126" s="586"/>
      <c r="F126" s="586"/>
      <c r="G126" s="586"/>
      <c r="H126" s="586"/>
      <c r="I126" s="586"/>
      <c r="J126" s="586"/>
      <c r="K126" s="586"/>
      <c r="L126" s="586"/>
      <c r="M126" s="73"/>
      <c r="N126" s="73"/>
      <c r="O126" s="73"/>
      <c r="P126" s="73"/>
    </row>
    <row r="127" spans="1:16">
      <c r="A127" s="73"/>
      <c r="B127" s="321"/>
      <c r="C127" s="586"/>
      <c r="D127" s="586"/>
      <c r="E127" s="586"/>
      <c r="F127" s="586"/>
      <c r="G127" s="586"/>
      <c r="H127" s="586"/>
      <c r="I127" s="586"/>
      <c r="J127" s="586"/>
      <c r="K127" s="586"/>
      <c r="L127" s="586"/>
      <c r="M127" s="73"/>
      <c r="N127" s="73"/>
      <c r="O127" s="73"/>
      <c r="P127" s="73"/>
    </row>
    <row r="128" spans="1:16">
      <c r="A128" s="73"/>
      <c r="B128" s="72"/>
      <c r="C128" s="62"/>
      <c r="D128" s="73"/>
      <c r="E128" s="73"/>
      <c r="F128" s="73"/>
      <c r="G128" s="73"/>
      <c r="H128" s="73"/>
      <c r="I128" s="73"/>
      <c r="J128" s="73"/>
      <c r="K128" s="73"/>
      <c r="L128" s="73"/>
      <c r="M128" s="73"/>
      <c r="N128" s="73"/>
      <c r="O128" s="73"/>
      <c r="P128" s="73"/>
    </row>
    <row r="129" spans="1:16" ht="15" customHeight="1">
      <c r="A129" s="73"/>
      <c r="B129" s="321" t="s">
        <v>203</v>
      </c>
      <c r="C129" s="61" t="s">
        <v>204</v>
      </c>
      <c r="D129" s="73"/>
      <c r="E129" s="73"/>
      <c r="F129" s="73"/>
      <c r="G129" s="73"/>
      <c r="H129" s="73"/>
      <c r="I129" s="73"/>
      <c r="J129" s="73"/>
      <c r="K129" s="73"/>
      <c r="L129" s="73"/>
      <c r="M129" s="73"/>
      <c r="N129" s="73"/>
      <c r="O129" s="73"/>
      <c r="P129" s="73"/>
    </row>
    <row r="130" spans="1:16">
      <c r="A130" s="73"/>
      <c r="B130" s="321"/>
      <c r="C130" s="62"/>
      <c r="D130" s="73"/>
      <c r="E130" s="159" t="s">
        <v>186</v>
      </c>
      <c r="F130" s="159"/>
      <c r="G130" s="159" t="s">
        <v>186</v>
      </c>
      <c r="H130" s="73"/>
      <c r="I130" s="159" t="s">
        <v>64</v>
      </c>
      <c r="J130" s="73"/>
      <c r="K130" s="73"/>
      <c r="L130" s="159" t="s">
        <v>64</v>
      </c>
      <c r="M130" s="73"/>
      <c r="N130" s="73"/>
      <c r="O130" s="73"/>
      <c r="P130" s="73"/>
    </row>
    <row r="131" spans="1:16">
      <c r="A131" s="73"/>
      <c r="B131" s="321"/>
      <c r="C131" s="62"/>
      <c r="D131" s="73"/>
      <c r="E131" s="159" t="s">
        <v>17</v>
      </c>
      <c r="F131" s="159"/>
      <c r="G131" s="159" t="s">
        <v>17</v>
      </c>
      <c r="H131" s="73"/>
      <c r="I131" s="159" t="s">
        <v>17</v>
      </c>
      <c r="J131" s="73"/>
      <c r="K131" s="73"/>
      <c r="L131" s="159" t="s">
        <v>17</v>
      </c>
      <c r="M131" s="73"/>
      <c r="N131" s="73"/>
      <c r="O131" s="73"/>
      <c r="P131" s="73"/>
    </row>
    <row r="132" spans="1:16">
      <c r="A132" s="73"/>
      <c r="B132" s="321"/>
      <c r="C132" s="62"/>
      <c r="D132" s="73"/>
      <c r="E132" s="140" t="s">
        <v>390</v>
      </c>
      <c r="F132" s="140"/>
      <c r="G132" s="140" t="s">
        <v>388</v>
      </c>
      <c r="H132" s="73"/>
      <c r="I132" s="140" t="str">
        <f>E132</f>
        <v>30 June 2010</v>
      </c>
      <c r="J132" s="73"/>
      <c r="K132" s="73"/>
      <c r="L132" s="140" t="str">
        <f>G132</f>
        <v>30 June 2009</v>
      </c>
      <c r="M132" s="73"/>
      <c r="N132" s="73"/>
      <c r="O132" s="73"/>
      <c r="P132" s="73"/>
    </row>
    <row r="133" spans="1:16">
      <c r="A133" s="73"/>
      <c r="B133" s="321"/>
      <c r="C133" s="62"/>
      <c r="D133" s="73"/>
      <c r="E133" s="140"/>
      <c r="F133" s="140"/>
      <c r="G133" s="140"/>
      <c r="H133" s="73"/>
      <c r="I133" s="140"/>
      <c r="J133" s="73"/>
      <c r="K133" s="73"/>
      <c r="L133" s="140"/>
      <c r="M133" s="73"/>
      <c r="N133" s="73"/>
      <c r="O133" s="73"/>
      <c r="P133" s="73"/>
    </row>
    <row r="134" spans="1:16">
      <c r="A134" s="73"/>
      <c r="B134" s="321"/>
      <c r="C134" s="61" t="s">
        <v>205</v>
      </c>
      <c r="D134" s="73"/>
      <c r="E134" s="286"/>
      <c r="F134" s="286"/>
      <c r="G134" s="286"/>
      <c r="H134" s="73"/>
      <c r="I134" s="286"/>
      <c r="J134" s="73"/>
      <c r="K134" s="73"/>
      <c r="L134" s="286"/>
      <c r="M134" s="73"/>
      <c r="N134" s="73"/>
      <c r="O134" s="73"/>
      <c r="P134" s="73"/>
    </row>
    <row r="135" spans="1:16">
      <c r="A135" s="73"/>
      <c r="B135" s="321"/>
      <c r="C135" s="62" t="s">
        <v>206</v>
      </c>
      <c r="D135" s="73"/>
      <c r="E135" s="529">
        <f ca="1">IS!E34</f>
        <v>-563</v>
      </c>
      <c r="F135" s="529"/>
      <c r="G135" s="287">
        <f ca="1">IS!G30</f>
        <v>-550</v>
      </c>
      <c r="H135" s="288"/>
      <c r="I135" s="287">
        <f ca="1">IS!I34</f>
        <v>-1550</v>
      </c>
      <c r="J135" s="289"/>
      <c r="K135" s="289"/>
      <c r="L135" s="529">
        <v>-1369.5566800000006</v>
      </c>
      <c r="M135" s="73"/>
      <c r="N135" s="73"/>
      <c r="O135" s="73"/>
      <c r="P135" s="73"/>
    </row>
    <row r="136" spans="1:16">
      <c r="A136" s="73"/>
      <c r="B136" s="321"/>
      <c r="C136" s="62" t="s">
        <v>247</v>
      </c>
      <c r="D136" s="73"/>
      <c r="E136" s="530">
        <v>118556</v>
      </c>
      <c r="F136" s="530"/>
      <c r="G136" s="290">
        <v>107778</v>
      </c>
      <c r="H136" s="288"/>
      <c r="I136" s="290">
        <v>116621</v>
      </c>
      <c r="J136" s="288"/>
      <c r="K136" s="288"/>
      <c r="L136" s="530">
        <v>107778</v>
      </c>
      <c r="M136" s="73"/>
      <c r="N136" s="73"/>
      <c r="O136" s="73"/>
      <c r="P136" s="73"/>
    </row>
    <row r="137" spans="1:16" ht="15.75" thickBot="1">
      <c r="A137" s="73"/>
      <c r="B137" s="321"/>
      <c r="C137" s="62" t="s">
        <v>207</v>
      </c>
      <c r="D137" s="73"/>
      <c r="E137" s="572">
        <f t="shared" ref="E137:L137" si="0">+E135/E136*100</f>
        <v>-0.4748810688619724</v>
      </c>
      <c r="F137" s="571"/>
      <c r="G137" s="572">
        <f t="shared" si="0"/>
        <v>-0.51030822616860583</v>
      </c>
      <c r="H137" s="571" t="e">
        <f t="shared" si="0"/>
        <v>#DIV/0!</v>
      </c>
      <c r="I137" s="572">
        <f t="shared" si="0"/>
        <v>-1.3290916730262989</v>
      </c>
      <c r="J137" s="572" t="e">
        <f t="shared" si="0"/>
        <v>#DIV/0!</v>
      </c>
      <c r="K137" s="571"/>
      <c r="L137" s="572">
        <f t="shared" si="0"/>
        <v>-1.2707200727421186</v>
      </c>
      <c r="M137" s="73"/>
      <c r="N137" s="73"/>
      <c r="O137" s="73"/>
      <c r="P137" s="73"/>
    </row>
    <row r="138" spans="1:16" ht="15.75" thickTop="1">
      <c r="A138" s="73"/>
      <c r="B138" s="321"/>
      <c r="C138" s="62"/>
      <c r="D138" s="73"/>
      <c r="E138" s="73"/>
      <c r="F138" s="73"/>
      <c r="G138" s="68"/>
      <c r="H138" s="68"/>
      <c r="I138" s="68"/>
      <c r="J138" s="68"/>
      <c r="K138" s="148"/>
      <c r="L138" s="68"/>
      <c r="M138" s="73"/>
      <c r="N138" s="73"/>
      <c r="O138" s="73"/>
      <c r="P138" s="73"/>
    </row>
    <row r="139" spans="1:16">
      <c r="A139" s="73"/>
      <c r="B139" s="321"/>
      <c r="C139" s="586" t="s">
        <v>487</v>
      </c>
      <c r="D139" s="586"/>
      <c r="E139" s="586"/>
      <c r="F139" s="586"/>
      <c r="G139" s="586"/>
      <c r="H139" s="586"/>
      <c r="I139" s="586"/>
      <c r="J139" s="586"/>
      <c r="K139" s="586"/>
      <c r="L139" s="586"/>
      <c r="M139" s="73"/>
      <c r="N139" s="73"/>
      <c r="O139" s="73"/>
      <c r="P139" s="73"/>
    </row>
    <row r="140" spans="1:16">
      <c r="A140" s="73"/>
      <c r="B140" s="321"/>
      <c r="C140" s="586"/>
      <c r="D140" s="586"/>
      <c r="E140" s="586"/>
      <c r="F140" s="586"/>
      <c r="G140" s="586"/>
      <c r="H140" s="586"/>
      <c r="I140" s="586"/>
      <c r="J140" s="586"/>
      <c r="K140" s="586"/>
      <c r="L140" s="586"/>
      <c r="M140" s="73"/>
      <c r="N140" s="73"/>
      <c r="O140" s="73"/>
      <c r="P140" s="73"/>
    </row>
    <row r="141" spans="1:16">
      <c r="A141" s="73"/>
      <c r="B141" s="321"/>
      <c r="C141" s="62"/>
      <c r="D141" s="73"/>
      <c r="E141" s="73"/>
      <c r="F141" s="73"/>
      <c r="G141" s="73"/>
      <c r="H141" s="73"/>
      <c r="I141" s="73"/>
      <c r="J141" s="73"/>
      <c r="K141" s="73"/>
      <c r="L141" s="73"/>
      <c r="M141" s="73"/>
      <c r="N141" s="73"/>
      <c r="O141" s="73"/>
      <c r="P141" s="73"/>
    </row>
    <row r="142" spans="1:16" ht="15" customHeight="1">
      <c r="A142" s="73"/>
      <c r="B142" s="321"/>
      <c r="C142" s="586" t="s">
        <v>488</v>
      </c>
      <c r="D142" s="586"/>
      <c r="E142" s="586"/>
      <c r="F142" s="586"/>
      <c r="G142" s="586"/>
      <c r="H142" s="586"/>
      <c r="I142" s="586"/>
      <c r="J142" s="586"/>
      <c r="K142" s="586"/>
      <c r="L142" s="586"/>
      <c r="M142" s="73"/>
      <c r="N142" s="73"/>
      <c r="O142" s="73"/>
      <c r="P142" s="73"/>
    </row>
    <row r="143" spans="1:16">
      <c r="A143" s="73"/>
      <c r="B143" s="321"/>
      <c r="C143" s="586"/>
      <c r="D143" s="586"/>
      <c r="E143" s="586"/>
      <c r="F143" s="586"/>
      <c r="G143" s="586"/>
      <c r="H143" s="586"/>
      <c r="I143" s="586"/>
      <c r="J143" s="586"/>
      <c r="K143" s="586"/>
      <c r="L143" s="586"/>
      <c r="M143" s="73"/>
      <c r="N143" s="73"/>
      <c r="O143" s="73"/>
      <c r="P143" s="73"/>
    </row>
    <row r="144" spans="1:16">
      <c r="E144" s="166"/>
      <c r="F144" s="166"/>
      <c r="G144" s="166"/>
      <c r="H144" s="166"/>
      <c r="I144" s="166"/>
      <c r="J144" s="166"/>
      <c r="K144" s="166"/>
      <c r="L144" s="166"/>
      <c r="M144" s="73"/>
      <c r="N144" s="73"/>
      <c r="O144" s="73"/>
      <c r="P144" s="73"/>
    </row>
    <row r="145" spans="2:16" ht="15" customHeight="1">
      <c r="B145" s="321" t="s">
        <v>252</v>
      </c>
      <c r="C145" s="61" t="s">
        <v>215</v>
      </c>
      <c r="M145" s="73"/>
      <c r="N145" s="73"/>
      <c r="O145" s="73"/>
      <c r="P145" s="73"/>
    </row>
    <row r="146" spans="2:16">
      <c r="C146" s="599" t="s">
        <v>568</v>
      </c>
      <c r="D146" s="599"/>
      <c r="E146" s="599"/>
      <c r="F146" s="599"/>
      <c r="G146" s="599"/>
      <c r="H146" s="599"/>
      <c r="I146" s="599"/>
      <c r="J146" s="599"/>
      <c r="K146" s="599"/>
      <c r="L146" s="599"/>
      <c r="M146" s="73"/>
      <c r="N146" s="73"/>
      <c r="O146" s="73"/>
      <c r="P146" s="73"/>
    </row>
    <row r="147" spans="2:16">
      <c r="C147" s="599"/>
      <c r="D147" s="599"/>
      <c r="E147" s="599"/>
      <c r="F147" s="599"/>
      <c r="G147" s="599"/>
      <c r="H147" s="599"/>
      <c r="I147" s="599"/>
      <c r="J147" s="599"/>
      <c r="K147" s="599"/>
      <c r="L147" s="599"/>
      <c r="M147" s="73"/>
      <c r="N147" s="73"/>
      <c r="O147" s="73"/>
      <c r="P147" s="73"/>
    </row>
    <row r="148" spans="2:16">
      <c r="C148" s="531"/>
      <c r="D148" s="531"/>
      <c r="E148" s="531"/>
      <c r="F148" s="531"/>
      <c r="G148" s="531"/>
      <c r="H148" s="531"/>
      <c r="I148" s="531"/>
      <c r="J148" s="531"/>
      <c r="K148" s="531"/>
      <c r="L148" s="531"/>
      <c r="M148" s="73"/>
      <c r="N148" s="73"/>
      <c r="O148" s="73"/>
      <c r="P148" s="73"/>
    </row>
    <row r="149" spans="2:16" ht="17.25" customHeight="1">
      <c r="C149" s="531" t="s">
        <v>248</v>
      </c>
      <c r="D149" s="531"/>
      <c r="E149" s="166"/>
      <c r="F149" s="166"/>
      <c r="G149" s="166"/>
      <c r="H149" s="166"/>
      <c r="I149" s="166"/>
      <c r="J149" s="166"/>
      <c r="K149" s="166"/>
      <c r="L149" s="166"/>
      <c r="M149" s="73"/>
      <c r="N149" s="73"/>
      <c r="O149" s="73"/>
      <c r="P149" s="73"/>
    </row>
    <row r="150" spans="2:16">
      <c r="C150" s="531" t="s">
        <v>569</v>
      </c>
      <c r="D150" s="531"/>
      <c r="E150" s="166"/>
      <c r="F150" s="166"/>
      <c r="G150" s="166"/>
      <c r="H150" s="166"/>
      <c r="I150" s="166"/>
      <c r="J150" s="166"/>
      <c r="K150" s="166"/>
      <c r="L150" s="166"/>
      <c r="M150" s="73"/>
      <c r="N150" s="73"/>
      <c r="O150" s="73"/>
      <c r="P150" s="73"/>
    </row>
    <row r="151" spans="2:16">
      <c r="C151" s="531"/>
      <c r="D151" s="531"/>
      <c r="E151" s="166"/>
      <c r="F151" s="166"/>
      <c r="G151" s="166"/>
      <c r="H151" s="166"/>
      <c r="I151" s="166"/>
      <c r="J151" s="166"/>
      <c r="K151" s="166"/>
      <c r="L151" s="166"/>
      <c r="M151" s="73"/>
      <c r="N151" s="73"/>
      <c r="O151" s="73"/>
      <c r="P151" s="73"/>
    </row>
    <row r="152" spans="2:16">
      <c r="C152" s="531"/>
      <c r="D152" s="531"/>
      <c r="E152" s="166"/>
      <c r="F152" s="166"/>
      <c r="G152" s="166"/>
      <c r="H152" s="166"/>
      <c r="I152" s="166"/>
      <c r="J152" s="166"/>
      <c r="K152" s="166"/>
      <c r="L152" s="166"/>
      <c r="M152" s="73"/>
      <c r="N152" s="73"/>
      <c r="O152" s="73"/>
      <c r="P152" s="130"/>
    </row>
    <row r="153" spans="2:16">
      <c r="C153" s="531"/>
      <c r="D153" s="531"/>
      <c r="E153" s="166"/>
      <c r="F153" s="166"/>
      <c r="G153" s="166"/>
      <c r="H153" s="166"/>
      <c r="I153" s="166"/>
      <c r="J153" s="166"/>
      <c r="K153" s="166"/>
      <c r="L153" s="166"/>
      <c r="M153" s="65"/>
      <c r="O153" s="65"/>
    </row>
    <row r="154" spans="2:16">
      <c r="C154" s="531" t="s">
        <v>249</v>
      </c>
      <c r="D154" s="531"/>
      <c r="E154" s="166"/>
      <c r="F154" s="166"/>
      <c r="G154" s="166"/>
      <c r="H154" s="166"/>
      <c r="I154" s="166"/>
      <c r="J154" s="166"/>
      <c r="K154" s="166"/>
      <c r="L154" s="166"/>
      <c r="M154" s="65"/>
      <c r="O154" s="65"/>
    </row>
    <row r="155" spans="2:16">
      <c r="C155" s="531" t="s">
        <v>250</v>
      </c>
      <c r="D155" s="531"/>
      <c r="E155" s="166"/>
      <c r="F155" s="166"/>
      <c r="G155" s="166"/>
      <c r="H155" s="166"/>
      <c r="I155" s="166"/>
      <c r="J155" s="166"/>
      <c r="K155" s="166"/>
      <c r="L155" s="166"/>
      <c r="M155" s="137"/>
      <c r="O155" s="137"/>
    </row>
    <row r="156" spans="2:16">
      <c r="C156" s="573" t="s">
        <v>570</v>
      </c>
      <c r="D156" s="237"/>
      <c r="E156" s="166"/>
      <c r="F156" s="166"/>
      <c r="G156" s="166"/>
      <c r="H156" s="166"/>
      <c r="I156" s="166"/>
      <c r="J156" s="166"/>
      <c r="K156" s="166"/>
      <c r="L156" s="166"/>
      <c r="M156" s="140"/>
      <c r="O156" s="140"/>
    </row>
    <row r="157" spans="2:16">
      <c r="C157" s="531"/>
      <c r="D157" s="531"/>
      <c r="E157" s="166"/>
      <c r="F157" s="166"/>
      <c r="G157" s="166"/>
      <c r="H157" s="166"/>
      <c r="I157" s="166"/>
      <c r="J157" s="166"/>
      <c r="K157" s="166"/>
      <c r="L157" s="166"/>
      <c r="M157" s="73"/>
      <c r="O157" s="73"/>
    </row>
    <row r="158" spans="2:16">
      <c r="C158" s="167"/>
      <c r="D158" s="167"/>
      <c r="M158" s="148"/>
      <c r="O158" s="135"/>
    </row>
    <row r="159" spans="2:16">
      <c r="M159" s="68"/>
      <c r="O159" s="73"/>
    </row>
    <row r="160" spans="2:16">
      <c r="M160" s="150"/>
      <c r="O160" s="141"/>
    </row>
    <row r="161" spans="13:16">
      <c r="M161" s="68"/>
      <c r="N161" s="68"/>
      <c r="O161" s="73"/>
      <c r="P161" s="73"/>
    </row>
    <row r="162" spans="13:16">
      <c r="M162" s="73"/>
      <c r="N162" s="73"/>
      <c r="O162" s="73"/>
      <c r="P162" s="73"/>
    </row>
    <row r="163" spans="13:16">
      <c r="M163" s="73"/>
      <c r="N163" s="73"/>
      <c r="O163" s="73"/>
      <c r="P163" s="73"/>
    </row>
    <row r="164" spans="13:16">
      <c r="M164" s="73"/>
      <c r="N164" s="73"/>
      <c r="O164" s="73"/>
      <c r="P164" s="73"/>
    </row>
    <row r="165" spans="13:16">
      <c r="M165" s="73"/>
      <c r="N165" s="73"/>
      <c r="O165" s="73"/>
      <c r="P165" s="73"/>
    </row>
    <row r="166" spans="13:16">
      <c r="M166" s="73"/>
      <c r="N166" s="73"/>
      <c r="O166" s="73"/>
      <c r="P166" s="73"/>
    </row>
    <row r="168" spans="13:16" ht="17.25" customHeight="1"/>
    <row r="169" spans="13:16">
      <c r="M169" s="145"/>
      <c r="N169" s="145"/>
    </row>
  </sheetData>
  <mergeCells count="25">
    <mergeCell ref="C63:L64"/>
    <mergeCell ref="C66:L68"/>
    <mergeCell ref="C37:L38"/>
    <mergeCell ref="C40:L41"/>
    <mergeCell ref="C31:L33"/>
    <mergeCell ref="C142:L143"/>
    <mergeCell ref="I102:I103"/>
    <mergeCell ref="C146:L147"/>
    <mergeCell ref="C47:L47"/>
    <mergeCell ref="C84:L85"/>
    <mergeCell ref="C10:L12"/>
    <mergeCell ref="C79:L82"/>
    <mergeCell ref="C14:L16"/>
    <mergeCell ref="C70:L77"/>
    <mergeCell ref="C28:L29"/>
    <mergeCell ref="C43:L44"/>
    <mergeCell ref="C59:L60"/>
    <mergeCell ref="L92:L95"/>
    <mergeCell ref="C139:L140"/>
    <mergeCell ref="C51:L52"/>
    <mergeCell ref="C55:L56"/>
    <mergeCell ref="C126:L127"/>
    <mergeCell ref="L102:L103"/>
    <mergeCell ref="C122:L123"/>
    <mergeCell ref="G87:G88"/>
  </mergeCells>
  <phoneticPr fontId="25" type="noConversion"/>
  <pageMargins left="0.51" right="0.2" top="0.43307086614173229" bottom="0.86614173228346458" header="0.31496062992125984" footer="0.31496062992125984"/>
  <pageSetup paperSize="9" scale="98" orientation="portrait" r:id="rId1"/>
  <rowBreaks count="3" manualBreakCount="3">
    <brk id="49" max="11" man="1"/>
    <brk id="97" max="11" man="1"/>
    <brk id="143" max="11" man="1"/>
  </rowBreaks>
</worksheet>
</file>

<file path=xl/worksheets/sheet8.xml><?xml version="1.0" encoding="utf-8"?>
<worksheet xmlns="http://schemas.openxmlformats.org/spreadsheetml/2006/main" xmlns:r="http://schemas.openxmlformats.org/officeDocument/2006/relationships">
  <dimension ref="A1:K177"/>
  <sheetViews>
    <sheetView view="pageBreakPreview" topLeftCell="C82" zoomScaleSheetLayoutView="100" workbookViewId="0">
      <selection activeCell="A99" sqref="A99"/>
    </sheetView>
  </sheetViews>
  <sheetFormatPr defaultRowHeight="15"/>
  <cols>
    <col min="1" max="1" width="30.42578125" customWidth="1"/>
    <col min="2" max="2" width="13.140625" bestFit="1" customWidth="1"/>
    <col min="3" max="3" width="12.140625" customWidth="1"/>
    <col min="4" max="4" width="11" customWidth="1"/>
    <col min="5" max="5" width="12.5703125" customWidth="1"/>
    <col min="6" max="6" width="12.28515625" bestFit="1" customWidth="1"/>
    <col min="7" max="7" width="10" customWidth="1"/>
    <col min="8" max="8" width="11.5703125" customWidth="1"/>
    <col min="9" max="9" width="13.5703125" customWidth="1"/>
    <col min="10" max="10" width="10.42578125" customWidth="1"/>
    <col min="11" max="11" width="12.5703125" customWidth="1"/>
  </cols>
  <sheetData>
    <row r="1" spans="1:11" ht="16.5">
      <c r="A1" s="424" t="s">
        <v>78</v>
      </c>
      <c r="B1" s="425"/>
      <c r="C1" s="372"/>
      <c r="D1" s="373"/>
      <c r="E1" s="373" t="s">
        <v>29</v>
      </c>
      <c r="F1" s="372"/>
      <c r="G1" s="372"/>
      <c r="H1" s="374"/>
      <c r="I1" s="372"/>
      <c r="J1" s="372"/>
      <c r="K1" s="372"/>
    </row>
    <row r="2" spans="1:11" ht="17.25" thickBot="1">
      <c r="A2" s="426" t="s">
        <v>384</v>
      </c>
      <c r="B2" s="427"/>
      <c r="C2" s="84"/>
      <c r="D2" s="375"/>
      <c r="E2" s="375"/>
      <c r="F2" s="84"/>
      <c r="G2" s="84"/>
      <c r="H2" s="376"/>
      <c r="I2" s="84"/>
      <c r="J2" s="84"/>
      <c r="K2" s="84"/>
    </row>
    <row r="3" spans="1:11" ht="17.25" thickBot="1">
      <c r="A3" s="428"/>
      <c r="B3" s="462" t="s">
        <v>79</v>
      </c>
      <c r="C3" s="602" t="s">
        <v>70</v>
      </c>
      <c r="D3" s="602"/>
      <c r="E3" s="602"/>
      <c r="F3" s="602"/>
      <c r="G3" s="602"/>
      <c r="H3" s="602"/>
      <c r="I3" s="463" t="s">
        <v>385</v>
      </c>
      <c r="J3" s="464"/>
      <c r="K3" s="465" t="s">
        <v>386</v>
      </c>
    </row>
    <row r="4" spans="1:11" ht="17.25" thickBot="1">
      <c r="A4" s="378"/>
      <c r="B4" s="466" t="s">
        <v>82</v>
      </c>
      <c r="C4" s="467" t="s">
        <v>88</v>
      </c>
      <c r="D4" s="467" t="s">
        <v>80</v>
      </c>
      <c r="E4" s="467" t="s">
        <v>81</v>
      </c>
      <c r="F4" s="467" t="s">
        <v>254</v>
      </c>
      <c r="G4" s="467" t="s">
        <v>298</v>
      </c>
      <c r="H4" s="467" t="s">
        <v>299</v>
      </c>
      <c r="I4" s="468" t="s">
        <v>67</v>
      </c>
      <c r="J4" s="469"/>
      <c r="K4" s="470" t="s">
        <v>269</v>
      </c>
    </row>
    <row r="5" spans="1:11">
      <c r="A5" s="377"/>
      <c r="B5" s="379"/>
      <c r="C5" s="379"/>
      <c r="D5" s="380"/>
      <c r="E5" s="380"/>
      <c r="F5" s="379"/>
      <c r="G5" s="379"/>
      <c r="H5" s="381"/>
      <c r="I5" s="448"/>
      <c r="J5" s="449"/>
      <c r="K5" s="450"/>
    </row>
    <row r="6" spans="1:11" ht="15.75">
      <c r="A6" s="475" t="s">
        <v>300</v>
      </c>
      <c r="B6" s="459"/>
      <c r="C6" s="340">
        <v>281098</v>
      </c>
      <c r="D6" s="382">
        <v>954.55</v>
      </c>
      <c r="E6" s="382"/>
      <c r="F6" s="340">
        <v>132050.38</v>
      </c>
      <c r="G6" s="340">
        <v>1604</v>
      </c>
      <c r="H6" s="459">
        <v>1483119.45</v>
      </c>
      <c r="I6" s="383">
        <f>SUM(B6:H6)</f>
        <v>1898826.38</v>
      </c>
      <c r="J6" s="384"/>
      <c r="K6" s="384">
        <f>SUM(I6:I6)</f>
        <v>1898826.38</v>
      </c>
    </row>
    <row r="7" spans="1:11" ht="15.75">
      <c r="A7" s="475" t="s">
        <v>301</v>
      </c>
      <c r="B7" s="459"/>
      <c r="C7" s="340"/>
      <c r="D7" s="382">
        <v>5562.27</v>
      </c>
      <c r="E7" s="382">
        <v>74780.36</v>
      </c>
      <c r="F7" s="340">
        <v>77947.14</v>
      </c>
      <c r="G7" s="340"/>
      <c r="H7" s="459"/>
      <c r="I7" s="383">
        <f>SUM(B7:H7)</f>
        <v>158289.77000000002</v>
      </c>
      <c r="J7" s="384">
        <f>-I14</f>
        <v>-158153.69</v>
      </c>
      <c r="K7" s="384">
        <f>I7+J7</f>
        <v>136.0800000000163</v>
      </c>
    </row>
    <row r="8" spans="1:11" ht="15.75">
      <c r="A8" s="475" t="s">
        <v>302</v>
      </c>
      <c r="B8" s="459"/>
      <c r="C8" s="340"/>
      <c r="D8" s="382">
        <v>-257.56</v>
      </c>
      <c r="E8" s="382"/>
      <c r="F8" s="340">
        <v>3509.85</v>
      </c>
      <c r="G8" s="340"/>
      <c r="H8" s="459"/>
      <c r="I8" s="383">
        <f>SUM(B8:H8)</f>
        <v>3252.29</v>
      </c>
      <c r="J8" s="384"/>
      <c r="K8" s="384">
        <f>SUM(I8:I8)</f>
        <v>3252.29</v>
      </c>
    </row>
    <row r="9" spans="1:11" ht="16.5">
      <c r="A9" s="476" t="s">
        <v>303</v>
      </c>
      <c r="B9" s="460">
        <f t="shared" ref="B9:H9" si="0">SUM(B6:B7)+B8</f>
        <v>0</v>
      </c>
      <c r="C9" s="385">
        <f t="shared" si="0"/>
        <v>281098</v>
      </c>
      <c r="D9" s="386">
        <f t="shared" si="0"/>
        <v>6259.26</v>
      </c>
      <c r="E9" s="386">
        <f t="shared" si="0"/>
        <v>74780.36</v>
      </c>
      <c r="F9" s="385">
        <f>SUM(F6:F7)+F8</f>
        <v>213507.37000000002</v>
      </c>
      <c r="G9" s="385">
        <f t="shared" si="0"/>
        <v>1604</v>
      </c>
      <c r="H9" s="460">
        <f t="shared" si="0"/>
        <v>1483119.45</v>
      </c>
      <c r="I9" s="387">
        <f>SUM(I6:I7)+I8</f>
        <v>2060368.44</v>
      </c>
      <c r="J9" s="390"/>
      <c r="K9" s="388">
        <f>SUM(K6:K7)+SUM(K8)</f>
        <v>1902214.75</v>
      </c>
    </row>
    <row r="10" spans="1:11" ht="16.5">
      <c r="A10" s="476"/>
      <c r="B10" s="340"/>
      <c r="C10" s="340"/>
      <c r="D10" s="382"/>
      <c r="E10" s="382"/>
      <c r="F10" s="340"/>
      <c r="G10" s="340"/>
      <c r="H10" s="471"/>
      <c r="I10" s="383"/>
      <c r="J10" s="384"/>
      <c r="K10" s="384"/>
    </row>
    <row r="11" spans="1:11" ht="16.5">
      <c r="A11" s="477" t="s">
        <v>304</v>
      </c>
      <c r="B11" s="340"/>
      <c r="C11" s="340"/>
      <c r="D11" s="382"/>
      <c r="F11" s="340"/>
      <c r="G11" s="340"/>
      <c r="H11" s="471"/>
      <c r="I11" s="383"/>
      <c r="J11" s="384"/>
      <c r="K11" s="384"/>
    </row>
    <row r="12" spans="1:11" ht="15.75">
      <c r="A12" s="478" t="s">
        <v>348</v>
      </c>
      <c r="B12" s="459"/>
      <c r="C12" s="340"/>
      <c r="D12" s="382"/>
      <c r="E12" s="382">
        <v>74780.36</v>
      </c>
      <c r="F12" s="340"/>
      <c r="G12" s="340"/>
      <c r="H12" s="471"/>
      <c r="I12" s="383">
        <f>SUM(B12:H12)</f>
        <v>74780.36</v>
      </c>
      <c r="J12" s="384"/>
      <c r="K12" s="384">
        <f>I12</f>
        <v>74780.36</v>
      </c>
    </row>
    <row r="13" spans="1:11" ht="15.75">
      <c r="A13" s="475" t="s">
        <v>305</v>
      </c>
      <c r="B13" s="459"/>
      <c r="C13" s="340">
        <v>30042.39</v>
      </c>
      <c r="D13" s="382"/>
      <c r="E13" s="382"/>
      <c r="F13" s="340">
        <v>69294.559999999998</v>
      </c>
      <c r="G13" s="340">
        <v>300</v>
      </c>
      <c r="H13" s="459"/>
      <c r="I13" s="383">
        <f t="shared" ref="I13:I19" si="1">SUM(B13:H13)</f>
        <v>99636.95</v>
      </c>
      <c r="J13" s="384"/>
      <c r="K13" s="384">
        <f>SUM(I13:I13)</f>
        <v>99636.95</v>
      </c>
    </row>
    <row r="14" spans="1:11" ht="15.75">
      <c r="A14" s="475" t="s">
        <v>83</v>
      </c>
      <c r="B14" s="459"/>
      <c r="C14" s="340">
        <v>156303.09</v>
      </c>
      <c r="D14" s="382"/>
      <c r="E14" s="382"/>
      <c r="F14" s="340">
        <v>1589.42</v>
      </c>
      <c r="G14" s="340">
        <v>261.18</v>
      </c>
      <c r="H14" s="459"/>
      <c r="I14" s="383">
        <f t="shared" si="1"/>
        <v>158153.69</v>
      </c>
      <c r="J14" s="384">
        <f>J7</f>
        <v>-158153.69</v>
      </c>
      <c r="K14" s="384">
        <f t="shared" ref="K14:K19" si="2">I14+J14</f>
        <v>0</v>
      </c>
    </row>
    <row r="15" spans="1:11" ht="15.75">
      <c r="A15" s="475" t="s">
        <v>84</v>
      </c>
      <c r="B15" s="459"/>
      <c r="C15" s="340">
        <v>1484.13</v>
      </c>
      <c r="D15" s="382">
        <v>4529.5200000000004</v>
      </c>
      <c r="E15" s="382"/>
      <c r="F15" s="340">
        <v>95750.68</v>
      </c>
      <c r="G15" s="340"/>
      <c r="H15" s="459"/>
      <c r="I15" s="383">
        <f t="shared" si="1"/>
        <v>101764.32999999999</v>
      </c>
      <c r="J15" s="384"/>
      <c r="K15" s="384">
        <f t="shared" si="2"/>
        <v>101764.32999999999</v>
      </c>
    </row>
    <row r="16" spans="1:11" ht="15.75">
      <c r="A16" s="475" t="s">
        <v>85</v>
      </c>
      <c r="B16" s="459"/>
      <c r="C16" s="340"/>
      <c r="D16" s="382">
        <v>5343.32</v>
      </c>
      <c r="E16" s="382"/>
      <c r="F16" s="340">
        <v>16135.2</v>
      </c>
      <c r="G16" s="340"/>
      <c r="H16" s="459"/>
      <c r="I16" s="383">
        <f t="shared" si="1"/>
        <v>21478.52</v>
      </c>
      <c r="J16" s="384"/>
      <c r="K16" s="384">
        <f t="shared" si="2"/>
        <v>21478.52</v>
      </c>
    </row>
    <row r="17" spans="1:11" ht="15.75">
      <c r="A17" s="475" t="s">
        <v>253</v>
      </c>
      <c r="B17" s="459"/>
      <c r="C17" s="340">
        <v>9074.5</v>
      </c>
      <c r="D17" s="382"/>
      <c r="E17" s="382"/>
      <c r="F17" s="340"/>
      <c r="G17" s="340"/>
      <c r="H17" s="459"/>
      <c r="I17" s="383">
        <f t="shared" si="1"/>
        <v>9074.5</v>
      </c>
      <c r="J17" s="384"/>
      <c r="K17" s="384">
        <f t="shared" si="2"/>
        <v>9074.5</v>
      </c>
    </row>
    <row r="18" spans="1:11" ht="15.75">
      <c r="A18" s="479" t="s">
        <v>306</v>
      </c>
      <c r="B18" s="459"/>
      <c r="C18" s="340"/>
      <c r="D18" s="382"/>
      <c r="E18" s="382"/>
      <c r="F18" s="340"/>
      <c r="G18" s="340"/>
      <c r="H18" s="459">
        <v>1348289.9</v>
      </c>
      <c r="I18" s="383">
        <f t="shared" si="1"/>
        <v>1348289.9</v>
      </c>
      <c r="J18" s="384"/>
      <c r="K18" s="384">
        <f t="shared" si="2"/>
        <v>1348289.9</v>
      </c>
    </row>
    <row r="19" spans="1:11" ht="15.75">
      <c r="A19" s="475" t="s">
        <v>86</v>
      </c>
      <c r="B19" s="459"/>
      <c r="C19" s="340">
        <v>248.7</v>
      </c>
      <c r="D19" s="382"/>
      <c r="E19" s="382"/>
      <c r="F19" s="340"/>
      <c r="G19" s="340">
        <v>31</v>
      </c>
      <c r="H19" s="471"/>
      <c r="I19" s="383">
        <f t="shared" si="1"/>
        <v>279.7</v>
      </c>
      <c r="J19" s="384"/>
      <c r="K19" s="384">
        <f t="shared" si="2"/>
        <v>279.7</v>
      </c>
    </row>
    <row r="20" spans="1:11" ht="16.5">
      <c r="A20" s="498" t="s">
        <v>375</v>
      </c>
      <c r="B20" s="460">
        <f t="shared" ref="B20:I20" si="3">SUM(B12:B19)</f>
        <v>0</v>
      </c>
      <c r="C20" s="385">
        <f t="shared" si="3"/>
        <v>197152.81</v>
      </c>
      <c r="D20" s="385">
        <f t="shared" si="3"/>
        <v>9872.84</v>
      </c>
      <c r="E20" s="385">
        <f t="shared" si="3"/>
        <v>74780.36</v>
      </c>
      <c r="F20" s="385">
        <f t="shared" si="3"/>
        <v>182769.86</v>
      </c>
      <c r="G20" s="385">
        <f t="shared" si="3"/>
        <v>592.18000000000006</v>
      </c>
      <c r="H20" s="460">
        <f t="shared" si="3"/>
        <v>1348289.9</v>
      </c>
      <c r="I20" s="387">
        <f t="shared" si="3"/>
        <v>1813457.95</v>
      </c>
      <c r="J20" s="390"/>
      <c r="K20" s="390">
        <f>SUM(K12:K19)</f>
        <v>1655304.26</v>
      </c>
    </row>
    <row r="21" spans="1:11" ht="15.75">
      <c r="A21" s="478"/>
      <c r="B21" s="340"/>
      <c r="C21" s="340"/>
      <c r="D21" s="382"/>
      <c r="E21" s="382"/>
      <c r="F21" s="340"/>
      <c r="G21" s="340"/>
      <c r="H21" s="471"/>
      <c r="I21" s="383"/>
      <c r="J21" s="384"/>
      <c r="K21" s="384"/>
    </row>
    <row r="22" spans="1:11" ht="17.25" thickBot="1">
      <c r="A22" s="480" t="s">
        <v>307</v>
      </c>
      <c r="B22" s="461">
        <f t="shared" ref="B22:H22" si="4">B9-B20</f>
        <v>0</v>
      </c>
      <c r="C22" s="395">
        <f t="shared" si="4"/>
        <v>83945.19</v>
      </c>
      <c r="D22" s="395">
        <f t="shared" si="4"/>
        <v>-3613.58</v>
      </c>
      <c r="E22" s="395">
        <f>E9-E20</f>
        <v>0</v>
      </c>
      <c r="F22" s="395">
        <f t="shared" si="4"/>
        <v>30737.510000000038</v>
      </c>
      <c r="G22" s="395">
        <f t="shared" si="4"/>
        <v>1011.8199999999999</v>
      </c>
      <c r="H22" s="461">
        <f t="shared" si="4"/>
        <v>134829.55000000005</v>
      </c>
      <c r="I22" s="504">
        <f>I9-I20</f>
        <v>246910.49</v>
      </c>
      <c r="J22" s="396"/>
      <c r="K22" s="396">
        <f>K9-K20</f>
        <v>246910.49</v>
      </c>
    </row>
    <row r="23" spans="1:11" ht="16.5">
      <c r="A23" s="481" t="s">
        <v>308</v>
      </c>
      <c r="B23" s="342">
        <f t="shared" ref="B23:I23" si="5">IF(B9=0,0,B22/B9)</f>
        <v>0</v>
      </c>
      <c r="C23" s="342">
        <f t="shared" si="5"/>
        <v>0.29863318131043265</v>
      </c>
      <c r="D23" s="397">
        <f t="shared" si="5"/>
        <v>-0.57731744647130812</v>
      </c>
      <c r="E23" s="397">
        <f t="shared" si="5"/>
        <v>0</v>
      </c>
      <c r="F23" s="342">
        <f t="shared" si="5"/>
        <v>0.14396463222791811</v>
      </c>
      <c r="G23" s="342">
        <f t="shared" si="5"/>
        <v>0.63081047381546129</v>
      </c>
      <c r="H23" s="472">
        <f t="shared" si="5"/>
        <v>9.090943416593994E-2</v>
      </c>
      <c r="I23" s="399">
        <f t="shared" si="5"/>
        <v>0.11983802761024626</v>
      </c>
      <c r="J23" s="400"/>
      <c r="K23" s="400">
        <f>IF(K9=0,0,K22/K9)</f>
        <v>0.12980158523111021</v>
      </c>
    </row>
    <row r="24" spans="1:11" ht="16.5">
      <c r="A24" s="481"/>
      <c r="B24" s="342"/>
      <c r="C24" s="342"/>
      <c r="D24" s="397"/>
      <c r="E24" s="397"/>
      <c r="F24" s="342"/>
      <c r="G24" s="342"/>
      <c r="H24" s="398"/>
      <c r="I24" s="399"/>
      <c r="J24" s="400"/>
      <c r="K24" s="400"/>
    </row>
    <row r="25" spans="1:11" ht="16.5">
      <c r="A25" s="482" t="s">
        <v>362</v>
      </c>
      <c r="B25" s="341"/>
      <c r="C25" s="341"/>
      <c r="D25" s="391"/>
      <c r="E25" s="391"/>
      <c r="F25" s="341"/>
      <c r="G25" s="341"/>
      <c r="H25" s="392"/>
      <c r="I25" s="393"/>
      <c r="J25" s="394"/>
      <c r="K25" s="394"/>
    </row>
    <row r="26" spans="1:11" ht="15.75">
      <c r="A26" s="483" t="s">
        <v>365</v>
      </c>
      <c r="B26" s="340"/>
      <c r="C26" s="340"/>
      <c r="D26" s="382"/>
      <c r="E26" s="382"/>
      <c r="F26" s="340">
        <v>-90000</v>
      </c>
      <c r="G26" s="340"/>
      <c r="H26" s="471"/>
      <c r="I26" s="383">
        <f>SUM(B26:H26)</f>
        <v>-90000</v>
      </c>
      <c r="J26" s="384">
        <v>90000</v>
      </c>
      <c r="K26" s="384">
        <f>I26+J26</f>
        <v>0</v>
      </c>
    </row>
    <row r="27" spans="1:11" ht="15.75">
      <c r="A27" s="484" t="s">
        <v>366</v>
      </c>
      <c r="B27" s="340">
        <v>-300000</v>
      </c>
      <c r="C27" s="340"/>
      <c r="D27" s="382"/>
      <c r="E27" s="382"/>
      <c r="F27" s="340"/>
      <c r="G27" s="340"/>
      <c r="H27" s="471"/>
      <c r="I27" s="383">
        <f>SUM(B27:H27)</f>
        <v>-300000</v>
      </c>
      <c r="J27" s="384">
        <v>300000</v>
      </c>
      <c r="K27" s="384">
        <f>I27+J27</f>
        <v>0</v>
      </c>
    </row>
    <row r="28" spans="1:11" ht="15.75">
      <c r="A28" s="484" t="s">
        <v>334</v>
      </c>
      <c r="B28" s="406">
        <f t="shared" ref="B28:I28" si="6">SUM(B26:B27)</f>
        <v>-300000</v>
      </c>
      <c r="C28" s="406">
        <f t="shared" si="6"/>
        <v>0</v>
      </c>
      <c r="D28" s="407">
        <f t="shared" si="6"/>
        <v>0</v>
      </c>
      <c r="E28" s="407">
        <f t="shared" si="6"/>
        <v>0</v>
      </c>
      <c r="F28" s="406">
        <f t="shared" si="6"/>
        <v>-90000</v>
      </c>
      <c r="G28" s="406">
        <f t="shared" si="6"/>
        <v>0</v>
      </c>
      <c r="H28" s="473">
        <f t="shared" si="6"/>
        <v>0</v>
      </c>
      <c r="I28" s="408">
        <f t="shared" si="6"/>
        <v>-390000</v>
      </c>
      <c r="J28" s="409">
        <v>390000</v>
      </c>
      <c r="K28" s="409">
        <f>SUM(K26:K27)</f>
        <v>0</v>
      </c>
    </row>
    <row r="29" spans="1:11" ht="15.75">
      <c r="A29" s="484"/>
      <c r="B29" s="340"/>
      <c r="C29" s="340"/>
      <c r="D29" s="382"/>
      <c r="E29" s="382"/>
      <c r="F29" s="340"/>
      <c r="G29" s="340"/>
      <c r="H29" s="471"/>
      <c r="I29" s="383"/>
      <c r="J29" s="384"/>
      <c r="K29" s="384"/>
    </row>
    <row r="30" spans="1:11" ht="15.75">
      <c r="A30" s="483" t="s">
        <v>363</v>
      </c>
      <c r="B30" s="340"/>
      <c r="C30" s="340"/>
      <c r="D30" s="382"/>
      <c r="E30" s="382"/>
      <c r="F30" s="340">
        <v>-18048</v>
      </c>
      <c r="G30" s="340"/>
      <c r="H30" s="471"/>
      <c r="I30" s="383">
        <f>SUM(B30:H30)</f>
        <v>-18048</v>
      </c>
      <c r="J30" s="384"/>
      <c r="K30" s="384">
        <f>SUM(I30:I30)</f>
        <v>-18048</v>
      </c>
    </row>
    <row r="31" spans="1:11" ht="15.75">
      <c r="A31" s="483" t="s">
        <v>364</v>
      </c>
      <c r="B31" s="340">
        <v>-2500</v>
      </c>
      <c r="C31" s="340"/>
      <c r="D31" s="382">
        <v>-1500</v>
      </c>
      <c r="E31" s="382"/>
      <c r="F31" s="340"/>
      <c r="G31" s="340"/>
      <c r="H31" s="471"/>
      <c r="I31" s="383">
        <f>SUM(B31:H31)</f>
        <v>-4000</v>
      </c>
      <c r="J31" s="384"/>
      <c r="K31" s="384">
        <f>SUM(I31:I31)</f>
        <v>-4000</v>
      </c>
    </row>
    <row r="32" spans="1:11" ht="15.75">
      <c r="A32" s="484" t="s">
        <v>335</v>
      </c>
      <c r="B32" s="406">
        <f t="shared" ref="B32:I32" si="7">SUM(B30:B31)</f>
        <v>-2500</v>
      </c>
      <c r="C32" s="406">
        <f t="shared" si="7"/>
        <v>0</v>
      </c>
      <c r="D32" s="407">
        <f t="shared" si="7"/>
        <v>-1500</v>
      </c>
      <c r="E32" s="407">
        <f t="shared" si="7"/>
        <v>0</v>
      </c>
      <c r="F32" s="406">
        <f t="shared" si="7"/>
        <v>-18048</v>
      </c>
      <c r="G32" s="406">
        <f t="shared" si="7"/>
        <v>0</v>
      </c>
      <c r="H32" s="473">
        <f t="shared" si="7"/>
        <v>0</v>
      </c>
      <c r="I32" s="408">
        <f t="shared" si="7"/>
        <v>-22048</v>
      </c>
      <c r="J32" s="409"/>
      <c r="K32" s="409">
        <f>SUM(K30:K31)</f>
        <v>-22048</v>
      </c>
    </row>
    <row r="33" spans="1:11" ht="15.75">
      <c r="A33" s="484"/>
      <c r="B33" s="340"/>
      <c r="C33" s="340"/>
      <c r="D33" s="382"/>
      <c r="E33" s="382"/>
      <c r="F33" s="340"/>
      <c r="G33" s="340"/>
      <c r="H33" s="471"/>
      <c r="I33" s="383"/>
      <c r="J33" s="384"/>
      <c r="K33" s="384"/>
    </row>
    <row r="34" spans="1:11" ht="16.5">
      <c r="A34" s="481" t="s">
        <v>367</v>
      </c>
      <c r="B34" s="403">
        <f>B28+B32</f>
        <v>-302500</v>
      </c>
      <c r="C34" s="403">
        <f t="shared" ref="C34:I34" si="8">C28+C32</f>
        <v>0</v>
      </c>
      <c r="D34" s="403">
        <f t="shared" si="8"/>
        <v>-1500</v>
      </c>
      <c r="E34" s="403">
        <f t="shared" si="8"/>
        <v>0</v>
      </c>
      <c r="F34" s="403">
        <f t="shared" si="8"/>
        <v>-108048</v>
      </c>
      <c r="G34" s="403">
        <f t="shared" si="8"/>
        <v>0</v>
      </c>
      <c r="H34" s="403">
        <f t="shared" si="8"/>
        <v>0</v>
      </c>
      <c r="I34" s="403">
        <f t="shared" si="8"/>
        <v>-412048</v>
      </c>
      <c r="J34" s="403">
        <v>390000</v>
      </c>
      <c r="K34" s="405">
        <f>I34+J34</f>
        <v>-22048</v>
      </c>
    </row>
    <row r="35" spans="1:11" ht="16.5">
      <c r="A35" s="481"/>
      <c r="B35" s="342"/>
      <c r="C35" s="342"/>
      <c r="D35" s="397"/>
      <c r="E35" s="397"/>
      <c r="F35" s="342"/>
      <c r="G35" s="342"/>
      <c r="H35" s="472"/>
      <c r="I35" s="399"/>
      <c r="J35" s="506"/>
      <c r="K35" s="342"/>
    </row>
    <row r="36" spans="1:11" ht="16.5">
      <c r="A36" s="485" t="s">
        <v>309</v>
      </c>
      <c r="B36" s="340"/>
      <c r="C36" s="340"/>
      <c r="D36" s="382"/>
      <c r="E36" s="382"/>
      <c r="F36" s="340"/>
      <c r="G36" s="340"/>
      <c r="H36" s="389"/>
      <c r="I36" s="383"/>
      <c r="J36" s="383"/>
      <c r="K36" s="340"/>
    </row>
    <row r="37" spans="1:11" ht="15.75">
      <c r="A37" s="475" t="s">
        <v>310</v>
      </c>
      <c r="B37" s="340">
        <v>103159</v>
      </c>
      <c r="C37" s="340">
        <v>43100</v>
      </c>
      <c r="D37" s="382">
        <v>29040</v>
      </c>
      <c r="E37" s="382">
        <v>28200</v>
      </c>
      <c r="F37" s="340">
        <v>14140</v>
      </c>
      <c r="G37" s="340"/>
      <c r="H37" s="471"/>
      <c r="I37" s="383">
        <f>SUM(B37:H37)</f>
        <v>217639</v>
      </c>
      <c r="J37" s="383"/>
      <c r="K37" s="340">
        <f>I37+J37</f>
        <v>217639</v>
      </c>
    </row>
    <row r="38" spans="1:11" ht="15.75">
      <c r="A38" s="475" t="s">
        <v>350</v>
      </c>
      <c r="B38" s="340">
        <v>2350</v>
      </c>
      <c r="C38" s="340">
        <v>1800</v>
      </c>
      <c r="D38" s="382">
        <v>4314</v>
      </c>
      <c r="E38" s="382">
        <v>1350</v>
      </c>
      <c r="F38" s="340">
        <v>450</v>
      </c>
      <c r="G38" s="340"/>
      <c r="H38" s="471"/>
      <c r="I38" s="383">
        <f t="shared" ref="I38:I59" si="9">SUM(B38:H38)</f>
        <v>10264</v>
      </c>
      <c r="J38" s="383"/>
      <c r="K38" s="340">
        <f t="shared" ref="K38:K45" si="10">I38+J38</f>
        <v>10264</v>
      </c>
    </row>
    <row r="39" spans="1:11" ht="15.75">
      <c r="A39" s="486" t="s">
        <v>349</v>
      </c>
      <c r="B39" s="340">
        <v>6722.21</v>
      </c>
      <c r="C39" s="340">
        <v>2997.13</v>
      </c>
      <c r="D39" s="382">
        <v>165.8</v>
      </c>
      <c r="E39" s="382"/>
      <c r="F39" s="340">
        <v>3260.69</v>
      </c>
      <c r="G39" s="340"/>
      <c r="H39" s="471"/>
      <c r="I39" s="383">
        <f t="shared" si="9"/>
        <v>13145.83</v>
      </c>
      <c r="J39" s="383"/>
      <c r="K39" s="340">
        <f t="shared" si="10"/>
        <v>13145.83</v>
      </c>
    </row>
    <row r="40" spans="1:11" ht="16.5" thickBot="1">
      <c r="A40" s="478" t="s">
        <v>311</v>
      </c>
      <c r="B40" s="340">
        <v>18469</v>
      </c>
      <c r="C40" s="340">
        <v>5112</v>
      </c>
      <c r="D40" s="382">
        <v>3498</v>
      </c>
      <c r="E40" s="382">
        <v>3482</v>
      </c>
      <c r="F40" s="340">
        <v>1701</v>
      </c>
      <c r="G40" s="340"/>
      <c r="H40" s="471"/>
      <c r="I40" s="383">
        <f t="shared" si="9"/>
        <v>32262</v>
      </c>
      <c r="J40" s="383"/>
      <c r="K40" s="340">
        <f t="shared" si="10"/>
        <v>32262</v>
      </c>
    </row>
    <row r="41" spans="1:11" ht="17.25" thickBot="1">
      <c r="A41" s="478"/>
      <c r="B41" s="451" t="s">
        <v>82</v>
      </c>
      <c r="C41" s="454" t="s">
        <v>88</v>
      </c>
      <c r="D41" s="454" t="s">
        <v>80</v>
      </c>
      <c r="E41" s="452" t="s">
        <v>81</v>
      </c>
      <c r="F41" s="454" t="s">
        <v>319</v>
      </c>
      <c r="G41" s="454" t="s">
        <v>298</v>
      </c>
      <c r="H41" s="454" t="s">
        <v>299</v>
      </c>
      <c r="I41" s="493" t="s">
        <v>67</v>
      </c>
      <c r="J41" s="383"/>
      <c r="K41" s="340"/>
    </row>
    <row r="42" spans="1:11" ht="15.75">
      <c r="A42" s="475" t="s">
        <v>312</v>
      </c>
      <c r="B42" s="340">
        <v>1549.35</v>
      </c>
      <c r="C42" s="340">
        <v>336.6</v>
      </c>
      <c r="D42" s="382">
        <v>370.8</v>
      </c>
      <c r="E42" s="382">
        <v>395.7</v>
      </c>
      <c r="F42" s="340">
        <v>226.15</v>
      </c>
      <c r="G42" s="340"/>
      <c r="H42" s="471"/>
      <c r="I42" s="383">
        <f t="shared" si="9"/>
        <v>2878.6</v>
      </c>
      <c r="J42" s="383"/>
      <c r="K42" s="340">
        <f t="shared" si="10"/>
        <v>2878.6</v>
      </c>
    </row>
    <row r="43" spans="1:11" ht="15.75">
      <c r="A43" s="478" t="s">
        <v>313</v>
      </c>
      <c r="B43" s="340">
        <v>958.7</v>
      </c>
      <c r="C43" s="340">
        <v>25</v>
      </c>
      <c r="D43" s="382">
        <v>184</v>
      </c>
      <c r="E43" s="382">
        <v>220</v>
      </c>
      <c r="F43" s="340">
        <v>226</v>
      </c>
      <c r="G43" s="340"/>
      <c r="H43" s="471"/>
      <c r="I43" s="383">
        <f t="shared" si="9"/>
        <v>1613.7</v>
      </c>
      <c r="J43" s="383"/>
      <c r="K43" s="340">
        <f t="shared" si="10"/>
        <v>1613.7</v>
      </c>
    </row>
    <row r="44" spans="1:11" ht="15.75">
      <c r="A44" s="478" t="s">
        <v>351</v>
      </c>
      <c r="B44" s="340">
        <v>2647</v>
      </c>
      <c r="C44" s="340"/>
      <c r="D44" s="382"/>
      <c r="E44" s="382"/>
      <c r="F44" s="340"/>
      <c r="G44" s="340"/>
      <c r="H44" s="471"/>
      <c r="I44" s="383">
        <f t="shared" si="9"/>
        <v>2647</v>
      </c>
      <c r="J44" s="383"/>
      <c r="K44" s="340">
        <f t="shared" si="10"/>
        <v>2647</v>
      </c>
    </row>
    <row r="45" spans="1:11" ht="15.75">
      <c r="A45" s="475" t="s">
        <v>376</v>
      </c>
      <c r="B45" s="340">
        <v>282.60000000000002</v>
      </c>
      <c r="C45" s="340"/>
      <c r="D45" s="382"/>
      <c r="E45" s="382"/>
      <c r="F45" s="340"/>
      <c r="G45" s="340"/>
      <c r="H45" s="471"/>
      <c r="I45" s="383">
        <f t="shared" si="9"/>
        <v>282.60000000000002</v>
      </c>
      <c r="J45" s="383"/>
      <c r="K45" s="340">
        <f t="shared" si="10"/>
        <v>282.60000000000002</v>
      </c>
    </row>
    <row r="46" spans="1:11" ht="15.75">
      <c r="A46" s="475" t="s">
        <v>314</v>
      </c>
      <c r="B46" s="340">
        <v>72000</v>
      </c>
      <c r="C46" s="340"/>
      <c r="D46" s="382"/>
      <c r="E46" s="382"/>
      <c r="F46" s="340"/>
      <c r="G46" s="340"/>
      <c r="H46" s="471"/>
      <c r="I46" s="383">
        <f t="shared" si="9"/>
        <v>72000</v>
      </c>
      <c r="J46" s="383"/>
      <c r="K46" s="340">
        <f>I46+J46</f>
        <v>72000</v>
      </c>
    </row>
    <row r="47" spans="1:11" ht="15.75">
      <c r="A47" s="475" t="s">
        <v>315</v>
      </c>
      <c r="B47" s="340">
        <v>8750</v>
      </c>
      <c r="C47" s="340"/>
      <c r="D47" s="382"/>
      <c r="E47" s="382"/>
      <c r="F47" s="340"/>
      <c r="G47" s="340"/>
      <c r="H47" s="471"/>
      <c r="I47" s="383">
        <f t="shared" si="9"/>
        <v>8750</v>
      </c>
      <c r="J47" s="383"/>
      <c r="K47" s="340">
        <f>I47+J47</f>
        <v>8750</v>
      </c>
    </row>
    <row r="48" spans="1:11" ht="15.75">
      <c r="A48" s="488" t="s">
        <v>368</v>
      </c>
      <c r="B48" s="340">
        <v>9000</v>
      </c>
      <c r="C48" s="340"/>
      <c r="D48" s="382"/>
      <c r="E48" s="382"/>
      <c r="F48" s="340"/>
      <c r="G48" s="340"/>
      <c r="H48" s="471"/>
      <c r="I48" s="383">
        <f t="shared" si="9"/>
        <v>9000</v>
      </c>
      <c r="J48" s="383"/>
      <c r="K48" s="340">
        <f>I48+J48</f>
        <v>9000</v>
      </c>
    </row>
    <row r="49" spans="1:11" ht="15.75">
      <c r="A49" s="488" t="s">
        <v>382</v>
      </c>
      <c r="B49" s="340"/>
      <c r="C49" s="340">
        <v>1556.1</v>
      </c>
      <c r="D49" s="382"/>
      <c r="E49" s="382"/>
      <c r="F49" s="340"/>
      <c r="G49" s="340"/>
      <c r="H49" s="471"/>
      <c r="I49" s="383">
        <f t="shared" si="9"/>
        <v>1556.1</v>
      </c>
      <c r="J49" s="383"/>
      <c r="K49" s="340">
        <f>I49+J49</f>
        <v>1556.1</v>
      </c>
    </row>
    <row r="50" spans="1:11" ht="15.75">
      <c r="A50" s="488" t="s">
        <v>381</v>
      </c>
      <c r="B50" s="340">
        <v>5848</v>
      </c>
      <c r="C50" s="340">
        <v>3144</v>
      </c>
      <c r="D50" s="382">
        <v>1722</v>
      </c>
      <c r="E50" s="382">
        <v>1933.5</v>
      </c>
      <c r="F50" s="340">
        <v>3657.5</v>
      </c>
      <c r="G50" s="340">
        <v>1111.5</v>
      </c>
      <c r="H50" s="471">
        <v>291</v>
      </c>
      <c r="I50" s="383">
        <f t="shared" si="9"/>
        <v>17707.5</v>
      </c>
      <c r="J50" s="383"/>
      <c r="K50" s="340">
        <f>I50+J50</f>
        <v>17707.5</v>
      </c>
    </row>
    <row r="51" spans="1:11" ht="15.75">
      <c r="A51" s="478" t="s">
        <v>316</v>
      </c>
      <c r="B51" s="340">
        <v>4843.5</v>
      </c>
      <c r="C51" s="340">
        <v>541</v>
      </c>
      <c r="D51" s="382">
        <v>545</v>
      </c>
      <c r="E51" s="382">
        <v>541</v>
      </c>
      <c r="F51" s="340">
        <v>541</v>
      </c>
      <c r="G51" s="340">
        <v>541</v>
      </c>
      <c r="H51" s="471">
        <v>541</v>
      </c>
      <c r="I51" s="383">
        <f t="shared" si="9"/>
        <v>8093.5</v>
      </c>
      <c r="J51" s="383"/>
      <c r="K51" s="340">
        <f>SUM(I51:I51)</f>
        <v>8093.5</v>
      </c>
    </row>
    <row r="52" spans="1:11" ht="15.75">
      <c r="A52" s="475" t="s">
        <v>317</v>
      </c>
      <c r="B52" s="340">
        <v>6000</v>
      </c>
      <c r="C52" s="340">
        <v>13720.4</v>
      </c>
      <c r="D52" s="382"/>
      <c r="E52" s="382"/>
      <c r="F52" s="340"/>
      <c r="G52" s="340"/>
      <c r="H52" s="471"/>
      <c r="I52" s="383">
        <f t="shared" si="9"/>
        <v>19720.400000000001</v>
      </c>
      <c r="J52" s="383"/>
      <c r="K52" s="340">
        <f>SUM(I52:I52)</f>
        <v>19720.400000000001</v>
      </c>
    </row>
    <row r="53" spans="1:11" ht="15.75">
      <c r="A53" s="475" t="s">
        <v>372</v>
      </c>
      <c r="B53" s="340">
        <v>14000</v>
      </c>
      <c r="C53" s="340"/>
      <c r="D53" s="382"/>
      <c r="E53" s="382"/>
      <c r="F53" s="340"/>
      <c r="G53" s="340"/>
      <c r="H53" s="471"/>
      <c r="I53" s="383">
        <f t="shared" si="9"/>
        <v>14000</v>
      </c>
      <c r="J53" s="383"/>
      <c r="K53" s="340">
        <f>SUM(I53:I53)</f>
        <v>14000</v>
      </c>
    </row>
    <row r="54" spans="1:11" ht="15.75">
      <c r="A54" s="475" t="s">
        <v>318</v>
      </c>
      <c r="B54" s="340">
        <v>13681.99</v>
      </c>
      <c r="C54" s="340"/>
      <c r="D54" s="382"/>
      <c r="E54" s="382"/>
      <c r="F54" s="340"/>
      <c r="G54" s="340"/>
      <c r="H54" s="471"/>
      <c r="I54" s="383">
        <f t="shared" si="9"/>
        <v>13681.99</v>
      </c>
      <c r="J54" s="383"/>
      <c r="K54" s="340">
        <f>SUM(I54:I54)</f>
        <v>13681.99</v>
      </c>
    </row>
    <row r="55" spans="1:11" ht="15.75">
      <c r="A55" s="475" t="s">
        <v>353</v>
      </c>
      <c r="B55" s="340"/>
      <c r="C55" s="340"/>
      <c r="D55" s="382"/>
      <c r="E55" s="382"/>
      <c r="F55" s="340"/>
      <c r="G55" s="340"/>
      <c r="H55" s="471"/>
      <c r="I55" s="383">
        <f t="shared" si="9"/>
        <v>0</v>
      </c>
      <c r="J55" s="383"/>
      <c r="K55" s="340">
        <f>SUM(I55:I55)</f>
        <v>0</v>
      </c>
    </row>
    <row r="56" spans="1:11" ht="15.75">
      <c r="A56" s="475" t="s">
        <v>346</v>
      </c>
      <c r="B56" s="340"/>
      <c r="C56" s="340"/>
      <c r="D56" s="382"/>
      <c r="E56" s="382"/>
      <c r="F56" s="340"/>
      <c r="G56" s="340"/>
      <c r="H56" s="471"/>
      <c r="I56" s="383">
        <f>SUM(B56:H56)</f>
        <v>0</v>
      </c>
      <c r="J56" s="383"/>
      <c r="K56" s="340">
        <f>I56+J56</f>
        <v>0</v>
      </c>
    </row>
    <row r="57" spans="1:11" ht="15.75">
      <c r="A57" s="475" t="s">
        <v>345</v>
      </c>
      <c r="B57" s="340"/>
      <c r="C57" s="340"/>
      <c r="D57" s="382"/>
      <c r="E57" s="382"/>
      <c r="F57" s="340"/>
      <c r="G57" s="340"/>
      <c r="H57" s="471"/>
      <c r="I57" s="383">
        <f t="shared" si="9"/>
        <v>0</v>
      </c>
      <c r="J57" s="383"/>
      <c r="K57" s="340">
        <f>I57+J57</f>
        <v>0</v>
      </c>
    </row>
    <row r="58" spans="1:11" ht="15.75">
      <c r="A58" s="475" t="s">
        <v>373</v>
      </c>
      <c r="B58" s="340">
        <v>32457.200000000001</v>
      </c>
      <c r="C58" s="340"/>
      <c r="D58" s="382"/>
      <c r="E58" s="382"/>
      <c r="F58" s="340"/>
      <c r="G58" s="340"/>
      <c r="H58" s="471"/>
      <c r="I58" s="383">
        <f t="shared" si="9"/>
        <v>32457.200000000001</v>
      </c>
      <c r="J58" s="383"/>
      <c r="K58" s="340">
        <f>I58+J58</f>
        <v>32457.200000000001</v>
      </c>
    </row>
    <row r="59" spans="1:11" ht="15.75">
      <c r="A59" s="475" t="s">
        <v>374</v>
      </c>
      <c r="B59" s="340">
        <v>646.1</v>
      </c>
      <c r="C59" s="340"/>
      <c r="D59" s="382"/>
      <c r="E59" s="382"/>
      <c r="F59" s="340"/>
      <c r="G59" s="340"/>
      <c r="H59" s="471"/>
      <c r="I59" s="383">
        <f t="shared" si="9"/>
        <v>646.1</v>
      </c>
      <c r="J59" s="383"/>
      <c r="K59" s="340">
        <f>I59+J59</f>
        <v>646.1</v>
      </c>
    </row>
    <row r="60" spans="1:11" ht="17.25" thickBot="1">
      <c r="A60" s="489"/>
      <c r="B60" s="341"/>
      <c r="C60" s="341"/>
      <c r="D60" s="391"/>
      <c r="E60" s="391"/>
      <c r="F60" s="341"/>
      <c r="G60" s="341"/>
      <c r="H60" s="474"/>
      <c r="I60" s="393"/>
      <c r="J60" s="507"/>
      <c r="K60" s="339"/>
    </row>
    <row r="61" spans="1:11" ht="17.25" thickBot="1">
      <c r="A61" s="490"/>
      <c r="I61" s="575"/>
      <c r="J61" s="505"/>
      <c r="K61" s="453" t="s">
        <v>67</v>
      </c>
    </row>
    <row r="62" spans="1:11" ht="15.75">
      <c r="A62" s="475" t="s">
        <v>320</v>
      </c>
      <c r="B62" s="340"/>
      <c r="C62" s="340"/>
      <c r="D62" s="382"/>
      <c r="E62" s="382"/>
      <c r="F62" s="340">
        <v>14558.75</v>
      </c>
      <c r="G62" s="340"/>
      <c r="H62" s="471"/>
      <c r="I62" s="383">
        <f>SUM(B62:H62)</f>
        <v>14558.75</v>
      </c>
      <c r="J62" s="384"/>
      <c r="K62" s="384">
        <f>SUM(I62:I62)</f>
        <v>14558.75</v>
      </c>
    </row>
    <row r="63" spans="1:11" ht="15.75">
      <c r="A63" s="475" t="s">
        <v>321</v>
      </c>
      <c r="B63" s="340"/>
      <c r="C63" s="340"/>
      <c r="D63" s="382"/>
      <c r="E63" s="382"/>
      <c r="F63" s="340">
        <v>5224.88</v>
      </c>
      <c r="G63" s="340"/>
      <c r="H63" s="471"/>
      <c r="I63" s="383">
        <f t="shared" ref="I63:I78" si="11">SUM(B63:H63)</f>
        <v>5224.88</v>
      </c>
      <c r="J63" s="384"/>
      <c r="K63" s="384">
        <f t="shared" ref="K63:K78" si="12">SUM(I63:I63)</f>
        <v>5224.88</v>
      </c>
    </row>
    <row r="64" spans="1:11" ht="15.75">
      <c r="A64" s="483" t="s">
        <v>371</v>
      </c>
      <c r="B64" s="340"/>
      <c r="C64" s="340"/>
      <c r="D64" s="382"/>
      <c r="E64" s="382"/>
      <c r="F64">
        <v>5150</v>
      </c>
      <c r="G64" s="340"/>
      <c r="H64" s="471"/>
      <c r="I64" s="383">
        <f>SUM(B64:H64)</f>
        <v>5150</v>
      </c>
      <c r="J64" s="384"/>
      <c r="K64" s="384">
        <f t="shared" si="12"/>
        <v>5150</v>
      </c>
    </row>
    <row r="65" spans="1:11" ht="15.75">
      <c r="A65" s="475" t="s">
        <v>322</v>
      </c>
      <c r="B65" s="340">
        <v>630</v>
      </c>
      <c r="C65" s="340"/>
      <c r="D65" s="382"/>
      <c r="E65" s="382">
        <v>500</v>
      </c>
      <c r="F65" s="340">
        <v>1913.9</v>
      </c>
      <c r="G65" s="340"/>
      <c r="H65" s="471"/>
      <c r="I65" s="383">
        <f t="shared" si="11"/>
        <v>3043.9</v>
      </c>
      <c r="J65" s="384"/>
      <c r="K65" s="384">
        <f t="shared" si="12"/>
        <v>3043.9</v>
      </c>
    </row>
    <row r="66" spans="1:11" ht="15.75">
      <c r="A66" s="478" t="s">
        <v>323</v>
      </c>
      <c r="B66" s="340">
        <v>2515.69</v>
      </c>
      <c r="C66" s="340"/>
      <c r="D66" s="382"/>
      <c r="E66" s="382">
        <v>33.799999999999997</v>
      </c>
      <c r="F66" s="340">
        <v>95</v>
      </c>
      <c r="G66" s="340"/>
      <c r="H66" s="471"/>
      <c r="I66" s="383">
        <f t="shared" si="11"/>
        <v>2644.4900000000002</v>
      </c>
      <c r="J66" s="384"/>
      <c r="K66" s="384">
        <f t="shared" si="12"/>
        <v>2644.4900000000002</v>
      </c>
    </row>
    <row r="67" spans="1:11" ht="15.75">
      <c r="A67" s="475" t="s">
        <v>324</v>
      </c>
      <c r="B67" s="340">
        <v>8.6</v>
      </c>
      <c r="C67" s="340"/>
      <c r="D67" s="382"/>
      <c r="E67" s="382"/>
      <c r="F67" s="340"/>
      <c r="G67" s="340"/>
      <c r="H67" s="471"/>
      <c r="I67" s="383">
        <f t="shared" si="11"/>
        <v>8.6</v>
      </c>
      <c r="J67" s="384"/>
      <c r="K67" s="384">
        <f t="shared" si="12"/>
        <v>8.6</v>
      </c>
    </row>
    <row r="68" spans="1:11" ht="15.75">
      <c r="A68" s="475" t="s">
        <v>325</v>
      </c>
      <c r="B68" s="340">
        <v>246.25</v>
      </c>
      <c r="C68" s="340"/>
      <c r="D68" s="382"/>
      <c r="E68" s="382"/>
      <c r="F68" s="340"/>
      <c r="G68" s="340"/>
      <c r="H68" s="471"/>
      <c r="I68" s="383">
        <f t="shared" si="11"/>
        <v>246.25</v>
      </c>
      <c r="J68" s="384"/>
      <c r="K68" s="384">
        <f t="shared" si="12"/>
        <v>246.25</v>
      </c>
    </row>
    <row r="69" spans="1:11" ht="15.75">
      <c r="A69" s="478" t="s">
        <v>326</v>
      </c>
      <c r="B69" s="340"/>
      <c r="C69" s="340"/>
      <c r="D69" s="382"/>
      <c r="E69" s="382"/>
      <c r="F69" s="340">
        <v>8054</v>
      </c>
      <c r="G69" s="340"/>
      <c r="H69" s="471"/>
      <c r="I69" s="383">
        <f t="shared" si="11"/>
        <v>8054</v>
      </c>
      <c r="J69" s="384"/>
      <c r="K69" s="384">
        <f t="shared" si="12"/>
        <v>8054</v>
      </c>
    </row>
    <row r="70" spans="1:11" ht="15.75">
      <c r="A70" s="478" t="s">
        <v>344</v>
      </c>
      <c r="B70" s="340">
        <v>759.51</v>
      </c>
      <c r="C70" s="340"/>
      <c r="D70" s="382"/>
      <c r="E70" s="382">
        <v>581.85</v>
      </c>
      <c r="F70" s="340">
        <v>67.48</v>
      </c>
      <c r="G70" s="340"/>
      <c r="H70" s="471"/>
      <c r="I70" s="383">
        <f t="shared" si="11"/>
        <v>1408.8400000000001</v>
      </c>
      <c r="J70" s="384"/>
      <c r="K70" s="384">
        <f t="shared" si="12"/>
        <v>1408.8400000000001</v>
      </c>
    </row>
    <row r="71" spans="1:11" ht="15.75">
      <c r="A71" s="491" t="s">
        <v>327</v>
      </c>
      <c r="B71" s="340">
        <v>175.38</v>
      </c>
      <c r="C71" s="340"/>
      <c r="D71" s="382"/>
      <c r="E71" s="382"/>
      <c r="F71" s="340"/>
      <c r="G71" s="340"/>
      <c r="H71" s="471"/>
      <c r="I71" s="383">
        <f t="shared" si="11"/>
        <v>175.38</v>
      </c>
      <c r="J71" s="384"/>
      <c r="K71" s="384">
        <f t="shared" si="12"/>
        <v>175.38</v>
      </c>
    </row>
    <row r="72" spans="1:11" ht="15.75">
      <c r="A72" s="478" t="s">
        <v>341</v>
      </c>
      <c r="B72" s="340">
        <v>5109</v>
      </c>
      <c r="C72" s="340"/>
      <c r="D72" s="382"/>
      <c r="E72" s="382"/>
      <c r="F72" s="340"/>
      <c r="G72" s="340"/>
      <c r="H72" s="471"/>
      <c r="I72" s="383">
        <f t="shared" si="11"/>
        <v>5109</v>
      </c>
      <c r="J72" s="384"/>
      <c r="K72" s="384">
        <f t="shared" si="12"/>
        <v>5109</v>
      </c>
    </row>
    <row r="73" spans="1:11" ht="15.75">
      <c r="A73" s="478" t="s">
        <v>328</v>
      </c>
      <c r="B73" s="340"/>
      <c r="C73" s="340"/>
      <c r="D73" s="382"/>
      <c r="E73" s="382">
        <v>21.2</v>
      </c>
      <c r="F73" s="340">
        <v>561.04999999999995</v>
      </c>
      <c r="G73" s="340"/>
      <c r="H73" s="471"/>
      <c r="I73" s="383">
        <f t="shared" si="11"/>
        <v>582.25</v>
      </c>
      <c r="J73" s="384"/>
      <c r="K73" s="384">
        <f t="shared" si="12"/>
        <v>582.25</v>
      </c>
    </row>
    <row r="74" spans="1:11" ht="15.75">
      <c r="A74" s="475" t="s">
        <v>329</v>
      </c>
      <c r="B74" s="340">
        <v>2434.61</v>
      </c>
      <c r="C74" s="340">
        <v>10</v>
      </c>
      <c r="D74" s="382"/>
      <c r="E74" s="382">
        <v>1588.6</v>
      </c>
      <c r="F74" s="340">
        <v>1938.41</v>
      </c>
      <c r="G74" s="340"/>
      <c r="H74" s="471"/>
      <c r="I74" s="383">
        <f>SUM(B74:H74)</f>
        <v>5971.62</v>
      </c>
      <c r="J74" s="384"/>
      <c r="K74" s="384">
        <f t="shared" si="12"/>
        <v>5971.62</v>
      </c>
    </row>
    <row r="75" spans="1:11" ht="15.75">
      <c r="A75" s="475" t="s">
        <v>342</v>
      </c>
      <c r="B75" s="340">
        <v>1641.6</v>
      </c>
      <c r="C75" s="340"/>
      <c r="D75" s="382">
        <v>120.5</v>
      </c>
      <c r="E75" s="382">
        <v>80</v>
      </c>
      <c r="F75" s="340">
        <v>474.5</v>
      </c>
      <c r="G75" s="340"/>
      <c r="H75" s="471"/>
      <c r="I75" s="383">
        <f t="shared" si="11"/>
        <v>2316.6</v>
      </c>
      <c r="J75" s="384"/>
      <c r="K75" s="384">
        <f t="shared" si="12"/>
        <v>2316.6</v>
      </c>
    </row>
    <row r="76" spans="1:11" ht="15.75">
      <c r="A76" s="475" t="s">
        <v>343</v>
      </c>
      <c r="B76" s="340">
        <v>1654.2</v>
      </c>
      <c r="C76" s="340"/>
      <c r="D76" s="382"/>
      <c r="E76" s="340">
        <v>498.2</v>
      </c>
      <c r="F76" s="340">
        <v>867.7</v>
      </c>
      <c r="G76" s="340"/>
      <c r="H76" s="471"/>
      <c r="I76" s="383">
        <f t="shared" si="11"/>
        <v>3020.1000000000004</v>
      </c>
      <c r="J76" s="384"/>
      <c r="K76" s="384">
        <f t="shared" si="12"/>
        <v>3020.1000000000004</v>
      </c>
    </row>
    <row r="77" spans="1:11" ht="15.75">
      <c r="A77" s="475" t="s">
        <v>352</v>
      </c>
      <c r="B77" s="340"/>
      <c r="C77" s="340"/>
      <c r="D77" s="382"/>
      <c r="E77" s="382"/>
      <c r="F77" s="340"/>
      <c r="G77" s="340"/>
      <c r="H77" s="471"/>
      <c r="I77" s="383">
        <f t="shared" si="11"/>
        <v>0</v>
      </c>
      <c r="J77" s="384"/>
      <c r="K77" s="384">
        <f t="shared" si="12"/>
        <v>0</v>
      </c>
    </row>
    <row r="78" spans="1:11" ht="15.75">
      <c r="A78" s="475" t="s">
        <v>330</v>
      </c>
      <c r="B78" s="340">
        <v>556.25</v>
      </c>
      <c r="C78" s="340"/>
      <c r="D78" s="382"/>
      <c r="E78" s="382"/>
      <c r="F78" s="340"/>
      <c r="G78" s="340"/>
      <c r="H78" s="471"/>
      <c r="I78" s="383">
        <f t="shared" si="11"/>
        <v>556.25</v>
      </c>
      <c r="J78" s="384"/>
      <c r="K78" s="384">
        <f t="shared" si="12"/>
        <v>556.25</v>
      </c>
    </row>
    <row r="79" spans="1:11" ht="16.5">
      <c r="A79" s="498" t="s">
        <v>89</v>
      </c>
      <c r="B79" s="403">
        <f>SUM(B37:B78)+B82</f>
        <v>322906.01</v>
      </c>
      <c r="C79" s="403">
        <f t="shared" ref="C79:H79" si="13">SUM(C37:C78)+C82</f>
        <v>96773.72</v>
      </c>
      <c r="D79" s="403">
        <f t="shared" si="13"/>
        <v>39960.100000000006</v>
      </c>
      <c r="E79" s="403">
        <f t="shared" si="13"/>
        <v>40035.539999999994</v>
      </c>
      <c r="F79" s="403">
        <f t="shared" si="13"/>
        <v>188431.51</v>
      </c>
      <c r="G79" s="403">
        <f t="shared" si="13"/>
        <v>2044.12</v>
      </c>
      <c r="H79" s="403">
        <f t="shared" si="13"/>
        <v>832</v>
      </c>
      <c r="I79" s="502">
        <f>SUM(I37:I78)</f>
        <v>536416.42999999982</v>
      </c>
      <c r="J79" s="405"/>
      <c r="K79" s="405">
        <f>SUM(K37:K78)</f>
        <v>536416.42999999982</v>
      </c>
    </row>
    <row r="80" spans="1:11" ht="17.25" thickBot="1">
      <c r="A80" s="498"/>
      <c r="B80" s="340"/>
      <c r="C80" s="340"/>
      <c r="D80" s="340"/>
      <c r="E80" s="340"/>
      <c r="F80" s="340"/>
      <c r="G80" s="340"/>
      <c r="H80" s="340"/>
      <c r="I80" s="501"/>
      <c r="J80" s="384"/>
      <c r="K80" s="384"/>
    </row>
    <row r="81" spans="1:11" ht="17.25" thickBot="1">
      <c r="A81" s="498"/>
      <c r="B81" s="451" t="s">
        <v>82</v>
      </c>
      <c r="C81" s="454" t="s">
        <v>88</v>
      </c>
      <c r="D81" s="454" t="s">
        <v>80</v>
      </c>
      <c r="E81" s="452" t="s">
        <v>81</v>
      </c>
      <c r="F81" s="454" t="s">
        <v>319</v>
      </c>
      <c r="G81" s="454" t="s">
        <v>298</v>
      </c>
      <c r="H81" s="454" t="s">
        <v>299</v>
      </c>
      <c r="I81" s="501"/>
      <c r="J81" s="384"/>
      <c r="K81" s="384"/>
    </row>
    <row r="82" spans="1:11" ht="15.75">
      <c r="A82" s="478" t="s">
        <v>87</v>
      </c>
      <c r="B82" s="340">
        <v>3810.27</v>
      </c>
      <c r="C82" s="340">
        <v>24431.49</v>
      </c>
      <c r="D82" s="382"/>
      <c r="E82" s="382">
        <v>609.69000000000005</v>
      </c>
      <c r="F82" s="340">
        <v>125323.5</v>
      </c>
      <c r="G82" s="340">
        <v>391.62</v>
      </c>
      <c r="H82" s="471"/>
      <c r="I82" s="383">
        <f>SUM(B82:H82)</f>
        <v>154566.57</v>
      </c>
      <c r="J82" s="384"/>
      <c r="K82" s="384">
        <f>SUM(I82:I82)</f>
        <v>154566.57</v>
      </c>
    </row>
    <row r="83" spans="1:11" ht="15.75">
      <c r="A83" s="478"/>
      <c r="B83" s="340"/>
      <c r="C83" s="340"/>
      <c r="D83" s="382"/>
      <c r="E83" s="382"/>
      <c r="F83" s="340"/>
      <c r="G83" s="340"/>
      <c r="H83" s="471"/>
      <c r="I83" s="501"/>
      <c r="J83" s="384"/>
      <c r="K83" s="384"/>
    </row>
    <row r="84" spans="1:11" ht="15.75">
      <c r="A84" s="497" t="s">
        <v>347</v>
      </c>
      <c r="B84" s="340">
        <v>30000</v>
      </c>
      <c r="C84" s="340">
        <v>30000</v>
      </c>
      <c r="D84" s="382"/>
      <c r="E84" s="382"/>
      <c r="F84" s="340"/>
      <c r="G84" s="340"/>
      <c r="H84" s="471">
        <v>30000</v>
      </c>
      <c r="I84" s="383">
        <f>SUM(B84:H84)</f>
        <v>90000</v>
      </c>
      <c r="J84" s="384">
        <v>-90000</v>
      </c>
      <c r="K84" s="384">
        <f>I84+J84</f>
        <v>0</v>
      </c>
    </row>
    <row r="85" spans="1:11" ht="15.75">
      <c r="A85" s="484" t="s">
        <v>331</v>
      </c>
      <c r="B85" s="340"/>
      <c r="C85" s="340">
        <v>75000</v>
      </c>
      <c r="D85" s="382"/>
      <c r="E85" s="382"/>
      <c r="F85" s="340">
        <v>75000</v>
      </c>
      <c r="G85" s="340"/>
      <c r="H85" s="471">
        <v>150000</v>
      </c>
      <c r="I85" s="383">
        <f>SUM(B85:H85)</f>
        <v>300000</v>
      </c>
      <c r="J85" s="384">
        <v>-300000</v>
      </c>
      <c r="K85" s="384">
        <f>I85+J85</f>
        <v>0</v>
      </c>
    </row>
    <row r="86" spans="1:11" ht="16.5">
      <c r="A86" s="487" t="s">
        <v>332</v>
      </c>
      <c r="B86" s="403">
        <f>SUM(B84:B85)</f>
        <v>30000</v>
      </c>
      <c r="C86" s="403">
        <f t="shared" ref="C86:H86" si="14">SUM(C84:C85)</f>
        <v>105000</v>
      </c>
      <c r="D86" s="403">
        <f t="shared" si="14"/>
        <v>0</v>
      </c>
      <c r="E86" s="403">
        <f t="shared" si="14"/>
        <v>0</v>
      </c>
      <c r="F86" s="403">
        <f t="shared" si="14"/>
        <v>75000</v>
      </c>
      <c r="G86" s="403">
        <f t="shared" si="14"/>
        <v>0</v>
      </c>
      <c r="H86" s="403">
        <f t="shared" si="14"/>
        <v>180000</v>
      </c>
      <c r="I86" s="404">
        <f>SUM(I84:I85)</f>
        <v>390000</v>
      </c>
      <c r="J86" s="405">
        <f>SUM(J84:J85)</f>
        <v>-390000</v>
      </c>
      <c r="K86" s="405">
        <f>SUM(K84:K85)</f>
        <v>0</v>
      </c>
    </row>
    <row r="87" spans="1:11" ht="16.5">
      <c r="A87" s="487"/>
      <c r="B87" s="340"/>
      <c r="C87" s="340"/>
      <c r="D87" s="382"/>
      <c r="E87" s="382"/>
      <c r="F87" s="340"/>
      <c r="G87" s="340"/>
      <c r="H87" s="459"/>
      <c r="I87" s="383"/>
      <c r="J87" s="384"/>
      <c r="K87" s="384"/>
    </row>
    <row r="88" spans="1:11" ht="16.5">
      <c r="A88" s="499" t="s">
        <v>369</v>
      </c>
      <c r="C88" s="340"/>
      <c r="D88" s="382"/>
      <c r="E88" s="382"/>
      <c r="F88" s="340"/>
      <c r="G88" s="340"/>
      <c r="H88" s="389"/>
      <c r="I88" s="383"/>
      <c r="J88" s="384"/>
      <c r="K88" s="384"/>
    </row>
    <row r="89" spans="1:11" ht="15.75">
      <c r="A89" s="478" t="s">
        <v>333</v>
      </c>
      <c r="B89" s="340">
        <v>104</v>
      </c>
      <c r="C89" s="340">
        <v>381.4</v>
      </c>
      <c r="D89" s="382">
        <v>339.4</v>
      </c>
      <c r="E89" s="382">
        <v>22</v>
      </c>
      <c r="F89">
        <v>42</v>
      </c>
      <c r="G89" s="340">
        <v>10</v>
      </c>
      <c r="H89" s="503">
        <v>12</v>
      </c>
      <c r="I89" s="383">
        <f>SUM(B89:H89)</f>
        <v>910.8</v>
      </c>
      <c r="J89" s="384"/>
      <c r="K89" s="384">
        <f>SUM(I89:I89)</f>
        <v>910.8</v>
      </c>
    </row>
    <row r="90" spans="1:11" ht="15.75">
      <c r="A90" s="475" t="s">
        <v>354</v>
      </c>
      <c r="B90" s="340">
        <v>5551.82</v>
      </c>
      <c r="C90" s="340">
        <v>21567.95</v>
      </c>
      <c r="D90" s="382">
        <v>11673.37</v>
      </c>
      <c r="E90" s="382"/>
      <c r="F90" s="340">
        <v>18658.36</v>
      </c>
      <c r="G90" s="340"/>
      <c r="H90" s="389"/>
      <c r="I90" s="383">
        <f>SUM(B90:H90)</f>
        <v>57451.5</v>
      </c>
      <c r="J90" s="384"/>
      <c r="K90" s="384">
        <f>SUM(I90:I90)</f>
        <v>57451.5</v>
      </c>
    </row>
    <row r="91" spans="1:11" ht="15.75">
      <c r="A91" s="475" t="s">
        <v>336</v>
      </c>
      <c r="C91" s="340">
        <v>3428</v>
      </c>
      <c r="D91" s="382"/>
      <c r="E91" s="382"/>
      <c r="F91" s="340"/>
      <c r="G91" s="340"/>
      <c r="H91" s="389"/>
      <c r="I91" s="383">
        <f>SUM(B91:H91)</f>
        <v>3428</v>
      </c>
      <c r="J91" s="384"/>
      <c r="K91" s="384">
        <f>SUM(I91:I91)</f>
        <v>3428</v>
      </c>
    </row>
    <row r="92" spans="1:11" ht="15.75">
      <c r="A92" s="484" t="s">
        <v>337</v>
      </c>
      <c r="B92" s="340"/>
      <c r="C92" s="340"/>
      <c r="D92" s="382"/>
      <c r="E92" s="382"/>
      <c r="F92" s="340">
        <v>78643.960000000006</v>
      </c>
      <c r="G92" s="340"/>
      <c r="H92" s="389"/>
      <c r="I92" s="383">
        <f>SUM(B92:H92)</f>
        <v>78643.960000000006</v>
      </c>
      <c r="J92" s="384"/>
      <c r="K92" s="384">
        <f>SUM(I92:I92)</f>
        <v>78643.960000000006</v>
      </c>
    </row>
    <row r="93" spans="1:11" ht="16.5">
      <c r="A93" s="487" t="s">
        <v>338</v>
      </c>
      <c r="B93" s="401">
        <f>SUM(B89:B92)</f>
        <v>5655.82</v>
      </c>
      <c r="C93" s="401">
        <f t="shared" ref="C93:H93" si="15">SUM(C89:C92)</f>
        <v>25377.350000000002</v>
      </c>
      <c r="D93" s="401">
        <f t="shared" si="15"/>
        <v>12012.77</v>
      </c>
      <c r="E93" s="401">
        <f t="shared" si="15"/>
        <v>22</v>
      </c>
      <c r="F93" s="401">
        <f>SUM(F89:F92)</f>
        <v>97344.320000000007</v>
      </c>
      <c r="G93" s="401">
        <f t="shared" si="15"/>
        <v>10</v>
      </c>
      <c r="H93" s="401">
        <f t="shared" si="15"/>
        <v>12</v>
      </c>
      <c r="I93" s="402">
        <f>SUM(I89:I92)</f>
        <v>140434.26</v>
      </c>
      <c r="J93" s="402"/>
      <c r="K93" s="402">
        <f>SUM(K89:K92)</f>
        <v>140434.26</v>
      </c>
    </row>
    <row r="94" spans="1:11" ht="16.5">
      <c r="A94" s="487"/>
      <c r="B94" s="494"/>
      <c r="C94" s="494"/>
      <c r="D94" s="495"/>
      <c r="E94" s="495"/>
      <c r="F94" s="494"/>
      <c r="G94" s="494"/>
      <c r="H94" s="494"/>
      <c r="I94" s="496"/>
      <c r="J94" s="496"/>
      <c r="K94" s="496"/>
    </row>
    <row r="95" spans="1:11" ht="17.25" thickBot="1">
      <c r="A95" s="476" t="s">
        <v>339</v>
      </c>
      <c r="B95" s="410">
        <f>B22+-B34-B79-B86-B93</f>
        <v>-56061.830000000009</v>
      </c>
      <c r="C95" s="410">
        <f t="shared" ref="C95:H95" si="16">C22+-C34-C79-C86-C93</f>
        <v>-143205.88</v>
      </c>
      <c r="D95" s="410">
        <f t="shared" si="16"/>
        <v>-54086.450000000012</v>
      </c>
      <c r="E95" s="410">
        <f t="shared" si="16"/>
        <v>-40057.539999999994</v>
      </c>
      <c r="F95" s="410">
        <f t="shared" si="16"/>
        <v>-221990.31999999998</v>
      </c>
      <c r="G95" s="410">
        <f t="shared" si="16"/>
        <v>-1042.3</v>
      </c>
      <c r="H95" s="410">
        <f t="shared" si="16"/>
        <v>-46014.449999999953</v>
      </c>
      <c r="I95" s="410">
        <f>I22+I34-I79-I86-I93</f>
        <v>-1231988.2</v>
      </c>
      <c r="J95" s="411"/>
      <c r="K95" s="411">
        <f>SUM(K22+-K32)-SUM(K79+K82+K93)</f>
        <v>-562458.76999999979</v>
      </c>
    </row>
    <row r="96" spans="1:11" ht="17.25" thickTop="1">
      <c r="A96" s="428"/>
      <c r="B96" s="412"/>
      <c r="C96" s="412"/>
      <c r="D96" s="412"/>
      <c r="E96" s="412"/>
      <c r="F96" s="412"/>
      <c r="G96" s="412"/>
      <c r="H96" s="191"/>
      <c r="I96" s="412"/>
      <c r="J96" s="412"/>
      <c r="K96" s="412"/>
    </row>
    <row r="97" spans="1:11" ht="16.5">
      <c r="A97" s="500" t="s">
        <v>370</v>
      </c>
      <c r="B97" s="310">
        <v>-292205.55</v>
      </c>
      <c r="C97" s="310">
        <v>-621947.43000000005</v>
      </c>
      <c r="D97" s="310">
        <v>-25267.279999999999</v>
      </c>
      <c r="E97" s="310">
        <v>154344.37</v>
      </c>
      <c r="F97" s="310">
        <v>-202379.16</v>
      </c>
      <c r="G97" s="310">
        <v>571.38</v>
      </c>
      <c r="H97" s="310">
        <v>-391</v>
      </c>
      <c r="I97" s="169">
        <f>SUM(B97:H97)</f>
        <v>-987274.67</v>
      </c>
      <c r="K97" s="169">
        <f>K95-I97</f>
        <v>424815.90000000026</v>
      </c>
    </row>
    <row r="98" spans="1:11" ht="16.5">
      <c r="A98" s="492"/>
      <c r="B98" s="169">
        <f>B95-B97</f>
        <v>236143.71999999997</v>
      </c>
      <c r="C98" s="169">
        <f t="shared" ref="C98:H98" si="17">C95-C97</f>
        <v>478741.55000000005</v>
      </c>
      <c r="D98" s="169">
        <f t="shared" si="17"/>
        <v>-28819.170000000013</v>
      </c>
      <c r="E98" s="169">
        <f t="shared" si="17"/>
        <v>-194401.90999999997</v>
      </c>
      <c r="F98" s="169">
        <f t="shared" si="17"/>
        <v>-19611.159999999974</v>
      </c>
      <c r="G98" s="169">
        <f t="shared" si="17"/>
        <v>-1613.6799999999998</v>
      </c>
      <c r="H98" s="169">
        <f t="shared" si="17"/>
        <v>-45623.449999999953</v>
      </c>
      <c r="I98" s="169"/>
      <c r="J98" s="169"/>
    </row>
    <row r="99" spans="1:11" ht="16.5">
      <c r="A99" s="492"/>
      <c r="H99" s="169"/>
      <c r="I99" s="169">
        <f>I95-I97</f>
        <v>-244713.52999999991</v>
      </c>
    </row>
    <row r="100" spans="1:11" ht="16.5">
      <c r="A100" s="492"/>
    </row>
    <row r="101" spans="1:11" ht="16.5">
      <c r="A101" s="492"/>
    </row>
    <row r="102" spans="1:11" ht="16.5">
      <c r="A102" s="492"/>
    </row>
    <row r="103" spans="1:11" ht="16.5">
      <c r="A103" s="492"/>
    </row>
    <row r="104" spans="1:11" ht="16.5">
      <c r="A104" s="492"/>
    </row>
    <row r="105" spans="1:11" ht="16.5">
      <c r="A105" s="492"/>
    </row>
    <row r="106" spans="1:11" ht="16.5">
      <c r="A106" s="492"/>
    </row>
    <row r="107" spans="1:11" ht="16.5">
      <c r="A107" s="492"/>
    </row>
    <row r="108" spans="1:11" ht="16.5">
      <c r="A108" s="492"/>
    </row>
    <row r="109" spans="1:11" ht="16.5">
      <c r="A109" s="492"/>
    </row>
    <row r="110" spans="1:11" ht="16.5">
      <c r="A110" s="492"/>
    </row>
    <row r="111" spans="1:11" ht="16.5">
      <c r="A111" s="492"/>
    </row>
    <row r="112" spans="1:11" ht="16.5">
      <c r="A112" s="492"/>
    </row>
    <row r="113" spans="1:1" ht="16.5">
      <c r="A113" s="492"/>
    </row>
    <row r="114" spans="1:1" ht="16.5">
      <c r="A114" s="492"/>
    </row>
    <row r="115" spans="1:1" ht="16.5">
      <c r="A115" s="492"/>
    </row>
    <row r="116" spans="1:1" ht="16.5">
      <c r="A116" s="492"/>
    </row>
    <row r="117" spans="1:1" ht="16.5">
      <c r="A117" s="492"/>
    </row>
    <row r="118" spans="1:1" ht="16.5">
      <c r="A118" s="492"/>
    </row>
    <row r="119" spans="1:1" ht="16.5">
      <c r="A119" s="492"/>
    </row>
    <row r="120" spans="1:1" ht="16.5">
      <c r="A120" s="492"/>
    </row>
    <row r="121" spans="1:1" ht="16.5">
      <c r="A121" s="492"/>
    </row>
    <row r="122" spans="1:1" ht="16.5">
      <c r="A122" s="492"/>
    </row>
    <row r="123" spans="1:1" ht="16.5">
      <c r="A123" s="492"/>
    </row>
    <row r="124" spans="1:1" ht="16.5">
      <c r="A124" s="492"/>
    </row>
    <row r="125" spans="1:1" ht="16.5">
      <c r="A125" s="492"/>
    </row>
    <row r="126" spans="1:1" ht="16.5">
      <c r="A126" s="492"/>
    </row>
    <row r="127" spans="1:1" ht="16.5">
      <c r="A127" s="492"/>
    </row>
    <row r="128" spans="1:1" ht="16.5">
      <c r="A128" s="492"/>
    </row>
    <row r="129" spans="1:1" ht="16.5">
      <c r="A129" s="492"/>
    </row>
    <row r="130" spans="1:1" ht="16.5">
      <c r="A130" s="492"/>
    </row>
    <row r="131" spans="1:1" ht="16.5">
      <c r="A131" s="492"/>
    </row>
    <row r="132" spans="1:1" ht="16.5">
      <c r="A132" s="492"/>
    </row>
    <row r="133" spans="1:1" ht="16.5">
      <c r="A133" s="492"/>
    </row>
    <row r="134" spans="1:1" ht="16.5">
      <c r="A134" s="492"/>
    </row>
    <row r="135" spans="1:1" ht="16.5">
      <c r="A135" s="492"/>
    </row>
    <row r="136" spans="1:1" ht="16.5">
      <c r="A136" s="492"/>
    </row>
    <row r="137" spans="1:1" ht="16.5">
      <c r="A137" s="492"/>
    </row>
    <row r="138" spans="1:1" ht="16.5">
      <c r="A138" s="492"/>
    </row>
    <row r="139" spans="1:1" ht="16.5">
      <c r="A139" s="492"/>
    </row>
    <row r="140" spans="1:1" ht="16.5">
      <c r="A140" s="492"/>
    </row>
    <row r="141" spans="1:1" ht="16.5">
      <c r="A141" s="492"/>
    </row>
    <row r="142" spans="1:1" ht="16.5">
      <c r="A142" s="492"/>
    </row>
    <row r="143" spans="1:1" ht="16.5">
      <c r="A143" s="492"/>
    </row>
    <row r="144" spans="1:1" ht="16.5">
      <c r="A144" s="492"/>
    </row>
    <row r="145" spans="1:1" ht="16.5">
      <c r="A145" s="492"/>
    </row>
    <row r="146" spans="1:1" ht="16.5">
      <c r="A146" s="492"/>
    </row>
    <row r="147" spans="1:1" ht="16.5">
      <c r="A147" s="492"/>
    </row>
    <row r="148" spans="1:1" ht="16.5">
      <c r="A148" s="492"/>
    </row>
    <row r="149" spans="1:1" ht="16.5">
      <c r="A149" s="492"/>
    </row>
    <row r="150" spans="1:1" ht="16.5">
      <c r="A150" s="492"/>
    </row>
    <row r="151" spans="1:1" ht="16.5">
      <c r="A151" s="492"/>
    </row>
    <row r="152" spans="1:1" ht="16.5">
      <c r="A152" s="492"/>
    </row>
    <row r="153" spans="1:1" ht="16.5">
      <c r="A153" s="492"/>
    </row>
    <row r="154" spans="1:1" ht="16.5">
      <c r="A154" s="492"/>
    </row>
    <row r="155" spans="1:1" ht="16.5">
      <c r="A155" s="492"/>
    </row>
    <row r="156" spans="1:1" ht="16.5">
      <c r="A156" s="492"/>
    </row>
    <row r="157" spans="1:1" ht="16.5">
      <c r="A157" s="492"/>
    </row>
    <row r="158" spans="1:1" ht="16.5">
      <c r="A158" s="492"/>
    </row>
    <row r="159" spans="1:1" ht="16.5">
      <c r="A159" s="492"/>
    </row>
    <row r="160" spans="1:1" ht="16.5">
      <c r="A160" s="492"/>
    </row>
    <row r="161" spans="1:1" ht="16.5">
      <c r="A161" s="492"/>
    </row>
    <row r="162" spans="1:1" ht="16.5">
      <c r="A162" s="492"/>
    </row>
    <row r="163" spans="1:1" ht="16.5">
      <c r="A163" s="492"/>
    </row>
    <row r="164" spans="1:1" ht="16.5">
      <c r="A164" s="492"/>
    </row>
    <row r="165" spans="1:1" ht="16.5">
      <c r="A165" s="492"/>
    </row>
    <row r="166" spans="1:1" ht="16.5">
      <c r="A166" s="492"/>
    </row>
    <row r="167" spans="1:1" ht="16.5">
      <c r="A167" s="492"/>
    </row>
    <row r="168" spans="1:1" ht="16.5">
      <c r="A168" s="492"/>
    </row>
    <row r="169" spans="1:1" ht="16.5">
      <c r="A169" s="492"/>
    </row>
    <row r="170" spans="1:1" ht="16.5">
      <c r="A170" s="492"/>
    </row>
    <row r="171" spans="1:1" ht="16.5">
      <c r="A171" s="492"/>
    </row>
    <row r="172" spans="1:1" ht="16.5">
      <c r="A172" s="492"/>
    </row>
    <row r="173" spans="1:1" ht="16.5">
      <c r="A173" s="492"/>
    </row>
    <row r="174" spans="1:1" ht="16.5">
      <c r="A174" s="492"/>
    </row>
    <row r="175" spans="1:1" ht="16.5">
      <c r="A175" s="492"/>
    </row>
    <row r="176" spans="1:1" ht="16.5">
      <c r="A176" s="492"/>
    </row>
    <row r="177" spans="1:1" ht="16.5">
      <c r="A177" s="492"/>
    </row>
  </sheetData>
  <mergeCells count="1">
    <mergeCell ref="C3:H3"/>
  </mergeCells>
  <phoneticPr fontId="25" type="noConversion"/>
  <pageMargins left="0.74803149606299213" right="0.35433070866141736" top="0.98425196850393704" bottom="0.98425196850393704" header="0.51181102362204722" footer="0.51181102362204722"/>
  <pageSetup scale="7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Z115"/>
  <sheetViews>
    <sheetView view="pageBreakPreview" topLeftCell="E7" zoomScaleNormal="65" zoomScaleSheetLayoutView="100" workbookViewId="0">
      <selection activeCell="L92" sqref="L92"/>
    </sheetView>
  </sheetViews>
  <sheetFormatPr defaultRowHeight="15"/>
  <cols>
    <col min="1" max="1" width="2.28515625" customWidth="1"/>
    <col min="4" max="4" width="12.140625" customWidth="1"/>
    <col min="5" max="5" width="7" customWidth="1"/>
    <col min="6" max="6" width="14" customWidth="1"/>
    <col min="7" max="7" width="1" customWidth="1"/>
    <col min="8" max="8" width="11.5703125" style="166" customWidth="1"/>
    <col min="9" max="9" width="0.85546875" customWidth="1"/>
    <col min="10" max="10" width="12.85546875" customWidth="1"/>
    <col min="11" max="11" width="1.140625" customWidth="1"/>
    <col min="12" max="12" width="12" customWidth="1"/>
    <col min="13" max="13" width="1.140625" customWidth="1"/>
    <col min="14" max="14" width="12" style="166" customWidth="1"/>
    <col min="15" max="15" width="1" customWidth="1"/>
    <col min="16" max="16" width="13.28515625" customWidth="1"/>
    <col min="17" max="17" width="1" customWidth="1"/>
    <col min="18" max="18" width="13.7109375" customWidth="1"/>
    <col min="19" max="19" width="1" customWidth="1"/>
    <col min="20" max="20" width="12" customWidth="1"/>
    <col min="21" max="21" width="1.140625" customWidth="1"/>
    <col min="22" max="22" width="12.42578125" customWidth="1"/>
    <col min="23" max="23" width="1" customWidth="1"/>
    <col min="24" max="24" width="15.28515625" customWidth="1"/>
    <col min="25" max="25" width="16.42578125" customWidth="1"/>
    <col min="26" max="26" width="14.28515625" customWidth="1"/>
  </cols>
  <sheetData>
    <row r="1" spans="1:25" ht="15.75">
      <c r="A1" s="112" t="s">
        <v>145</v>
      </c>
      <c r="B1" s="85"/>
      <c r="C1" s="85"/>
      <c r="D1" s="85"/>
      <c r="E1" s="85"/>
      <c r="F1" s="88"/>
      <c r="G1" s="88"/>
      <c r="H1" s="88"/>
      <c r="I1" s="88"/>
      <c r="J1" s="88"/>
      <c r="K1" s="88"/>
      <c r="L1" s="88"/>
      <c r="M1" s="88"/>
      <c r="N1" s="88"/>
      <c r="O1" s="88"/>
      <c r="P1" s="91"/>
      <c r="Q1" s="92"/>
      <c r="R1" s="92"/>
      <c r="S1" s="92"/>
      <c r="T1" s="93"/>
      <c r="U1" s="85"/>
      <c r="V1" s="85"/>
      <c r="W1" s="85"/>
      <c r="X1" s="85"/>
    </row>
    <row r="2" spans="1:25">
      <c r="A2" s="85"/>
      <c r="B2" s="85"/>
      <c r="C2" s="85"/>
      <c r="D2" s="85"/>
      <c r="E2" s="85"/>
      <c r="F2" s="88"/>
      <c r="G2" s="88"/>
      <c r="H2" s="88"/>
      <c r="I2" s="88"/>
      <c r="J2" s="88"/>
      <c r="K2" s="88"/>
      <c r="L2" s="88"/>
      <c r="M2" s="88"/>
      <c r="N2" s="88"/>
      <c r="O2" s="88"/>
      <c r="P2" s="91"/>
      <c r="Q2" s="92"/>
      <c r="R2" s="92"/>
      <c r="S2" s="92"/>
      <c r="T2" s="85"/>
      <c r="U2" s="85"/>
      <c r="V2" s="85"/>
      <c r="W2" s="85"/>
      <c r="X2" s="85"/>
    </row>
    <row r="3" spans="1:25">
      <c r="A3" s="113" t="s">
        <v>383</v>
      </c>
      <c r="B3" s="87"/>
      <c r="C3" s="85"/>
      <c r="D3" s="85"/>
      <c r="E3" s="85"/>
      <c r="F3" s="88"/>
      <c r="G3" s="88"/>
      <c r="H3" s="88"/>
      <c r="I3" s="88"/>
      <c r="J3" s="88"/>
      <c r="K3" s="88"/>
      <c r="L3" s="88"/>
      <c r="M3" s="88"/>
      <c r="N3" s="417"/>
      <c r="O3" s="88"/>
      <c r="P3" s="88"/>
      <c r="Q3" s="88"/>
      <c r="R3" s="88"/>
      <c r="S3" s="88"/>
      <c r="T3" s="85"/>
      <c r="U3" s="85"/>
      <c r="V3" s="85"/>
      <c r="W3" s="85"/>
      <c r="X3" s="94"/>
    </row>
    <row r="4" spans="1:25">
      <c r="A4" s="113"/>
      <c r="B4" s="87"/>
      <c r="C4" s="85"/>
      <c r="D4" s="85"/>
      <c r="E4" s="85"/>
      <c r="F4" s="413" t="s">
        <v>340</v>
      </c>
      <c r="G4" s="413"/>
      <c r="H4" s="413" t="s">
        <v>340</v>
      </c>
      <c r="I4" s="413"/>
      <c r="J4" s="413"/>
      <c r="K4" s="413"/>
      <c r="L4" s="413"/>
      <c r="M4" s="413"/>
      <c r="N4" s="413"/>
      <c r="O4" s="413"/>
      <c r="P4" s="413"/>
      <c r="Q4" s="413"/>
      <c r="R4" s="413"/>
      <c r="S4" s="88"/>
      <c r="T4" s="85"/>
      <c r="U4" s="85"/>
      <c r="V4" s="85"/>
      <c r="W4" s="85"/>
      <c r="X4" s="94"/>
    </row>
    <row r="5" spans="1:25">
      <c r="A5" s="87"/>
      <c r="B5" s="87"/>
      <c r="C5" s="87"/>
      <c r="D5" s="87"/>
      <c r="E5" s="87"/>
      <c r="F5" s="221" t="s">
        <v>91</v>
      </c>
      <c r="G5" s="89"/>
      <c r="H5" s="603" t="s">
        <v>92</v>
      </c>
      <c r="I5" s="604"/>
      <c r="J5" s="604"/>
      <c r="K5" s="604"/>
      <c r="L5" s="604"/>
      <c r="M5" s="604"/>
      <c r="N5" s="604"/>
      <c r="O5" s="604"/>
      <c r="P5" s="604"/>
      <c r="Q5" s="604"/>
      <c r="R5" s="220"/>
      <c r="S5" s="96"/>
      <c r="T5" s="247"/>
      <c r="U5" s="247"/>
      <c r="V5" s="247"/>
      <c r="W5" s="247"/>
      <c r="X5" s="248" t="s">
        <v>265</v>
      </c>
    </row>
    <row r="6" spans="1:25" ht="15" customHeight="1">
      <c r="A6" s="87"/>
      <c r="B6" s="87"/>
      <c r="C6" s="97"/>
      <c r="D6" s="97"/>
      <c r="E6" s="97"/>
      <c r="F6" s="222"/>
      <c r="G6" s="89"/>
      <c r="H6" s="326"/>
      <c r="I6" s="98"/>
      <c r="J6" s="96" t="s">
        <v>93</v>
      </c>
      <c r="K6" s="98"/>
      <c r="L6" s="98"/>
      <c r="M6" s="98"/>
      <c r="N6" s="98"/>
      <c r="O6" s="96"/>
      <c r="P6" s="98"/>
      <c r="Q6" s="98"/>
      <c r="R6" s="98"/>
      <c r="S6" s="98"/>
      <c r="T6" s="605" t="s">
        <v>147</v>
      </c>
      <c r="U6" s="606"/>
      <c r="V6" s="606"/>
      <c r="W6" s="97"/>
      <c r="X6" s="249" t="s">
        <v>94</v>
      </c>
    </row>
    <row r="7" spans="1:25">
      <c r="A7" s="89"/>
      <c r="B7" s="89"/>
      <c r="C7" s="98"/>
      <c r="D7" s="98"/>
      <c r="E7" s="98"/>
      <c r="F7" s="223"/>
      <c r="G7" s="89"/>
      <c r="H7" s="414" t="s">
        <v>93</v>
      </c>
      <c r="I7" s="98"/>
      <c r="J7" s="96" t="s">
        <v>95</v>
      </c>
      <c r="K7" s="98"/>
      <c r="L7" s="96"/>
      <c r="M7" s="96"/>
      <c r="N7" s="96" t="s">
        <v>96</v>
      </c>
      <c r="O7" s="96"/>
      <c r="P7" s="96" t="s">
        <v>93</v>
      </c>
      <c r="Q7" s="306"/>
      <c r="R7" s="96" t="s">
        <v>97</v>
      </c>
      <c r="S7" s="96"/>
      <c r="T7" s="606"/>
      <c r="U7" s="606"/>
      <c r="V7" s="606"/>
      <c r="W7" s="98"/>
      <c r="X7" s="250" t="s">
        <v>387</v>
      </c>
    </row>
    <row r="8" spans="1:25" ht="15" customHeight="1">
      <c r="A8" s="89"/>
      <c r="B8" s="89"/>
      <c r="C8" s="89"/>
      <c r="D8" s="89"/>
      <c r="E8" s="89"/>
      <c r="F8" s="223" t="s">
        <v>98</v>
      </c>
      <c r="G8" s="89"/>
      <c r="H8" s="414" t="s">
        <v>99</v>
      </c>
      <c r="I8" s="98"/>
      <c r="J8" s="96" t="s">
        <v>100</v>
      </c>
      <c r="K8" s="98"/>
      <c r="L8" s="96" t="s">
        <v>101</v>
      </c>
      <c r="M8" s="96"/>
      <c r="N8" s="96" t="s">
        <v>102</v>
      </c>
      <c r="O8" s="98"/>
      <c r="P8" s="307" t="s">
        <v>103</v>
      </c>
      <c r="Q8" s="306"/>
      <c r="R8" s="96" t="s">
        <v>104</v>
      </c>
      <c r="S8" s="96"/>
      <c r="T8" s="251" t="s">
        <v>105</v>
      </c>
      <c r="U8" s="251"/>
      <c r="V8" s="251" t="s">
        <v>106</v>
      </c>
      <c r="W8" s="98"/>
      <c r="X8" s="252" t="s">
        <v>107</v>
      </c>
    </row>
    <row r="9" spans="1:25">
      <c r="A9" s="87"/>
      <c r="B9" s="100" t="s">
        <v>108</v>
      </c>
      <c r="C9" s="87"/>
      <c r="D9" s="87"/>
      <c r="E9" s="87"/>
      <c r="F9" s="224"/>
      <c r="G9" s="89"/>
      <c r="H9" s="415"/>
      <c r="I9" s="218"/>
      <c r="J9" s="218"/>
      <c r="K9" s="218"/>
      <c r="L9" s="218"/>
      <c r="M9" s="218"/>
      <c r="N9" s="218"/>
      <c r="O9" s="218"/>
      <c r="P9" s="218"/>
      <c r="Q9" s="218"/>
      <c r="R9" s="218"/>
      <c r="S9" s="98"/>
      <c r="T9" s="294" t="s">
        <v>266</v>
      </c>
      <c r="U9" s="294"/>
      <c r="V9" s="294" t="s">
        <v>267</v>
      </c>
      <c r="W9" s="219"/>
      <c r="X9" s="253"/>
    </row>
    <row r="10" spans="1:25">
      <c r="A10" s="87"/>
      <c r="B10" s="87" t="s">
        <v>109</v>
      </c>
      <c r="C10" s="87"/>
      <c r="D10" s="87"/>
      <c r="E10" s="87"/>
      <c r="F10" s="101">
        <v>54678.8</v>
      </c>
      <c r="G10" s="101"/>
      <c r="H10" s="416">
        <v>268440.43</v>
      </c>
      <c r="I10" s="101"/>
      <c r="J10" s="101">
        <v>1875.59</v>
      </c>
      <c r="K10" s="101"/>
      <c r="L10" s="101">
        <v>1817.57</v>
      </c>
      <c r="M10" s="101"/>
      <c r="N10" s="101">
        <v>4157.42</v>
      </c>
      <c r="O10" s="101"/>
      <c r="P10" s="101">
        <f>10186485.5-P14</f>
        <v>10138247.550000001</v>
      </c>
      <c r="Q10" s="101"/>
      <c r="R10" s="101"/>
      <c r="S10" s="101"/>
      <c r="T10" s="55"/>
      <c r="U10" s="55"/>
      <c r="V10" s="55"/>
      <c r="W10" s="55"/>
      <c r="X10" s="55">
        <f t="shared" ref="X10:X15" si="0">SUM(F10:S10)+T10-V10</f>
        <v>10469217.360000001</v>
      </c>
    </row>
    <row r="11" spans="1:25">
      <c r="A11" s="87"/>
      <c r="B11" s="87" t="s">
        <v>110</v>
      </c>
      <c r="C11" s="87"/>
      <c r="D11" s="87"/>
      <c r="E11" s="87"/>
      <c r="F11" s="101">
        <v>1596000</v>
      </c>
      <c r="G11" s="101"/>
      <c r="H11" s="101"/>
      <c r="I11" s="101"/>
      <c r="J11" s="101"/>
      <c r="K11" s="101"/>
      <c r="L11" s="101"/>
      <c r="M11" s="101"/>
      <c r="N11" s="101"/>
      <c r="O11" s="101"/>
      <c r="P11" s="101"/>
      <c r="Q11" s="101"/>
      <c r="R11" s="101"/>
      <c r="S11" s="101"/>
      <c r="T11" s="55"/>
      <c r="U11" s="55"/>
      <c r="V11" s="55">
        <v>1493000</v>
      </c>
      <c r="W11" s="55"/>
      <c r="X11" s="55">
        <f t="shared" si="0"/>
        <v>103000</v>
      </c>
    </row>
    <row r="12" spans="1:25">
      <c r="A12" s="87"/>
      <c r="B12" s="87" t="s">
        <v>111</v>
      </c>
      <c r="C12" s="87"/>
      <c r="D12" s="87"/>
      <c r="E12" s="87"/>
      <c r="F12" s="101">
        <v>-733000</v>
      </c>
      <c r="G12" s="101"/>
      <c r="H12" s="101"/>
      <c r="I12" s="101"/>
      <c r="J12" s="101"/>
      <c r="K12" s="101"/>
      <c r="L12" s="101"/>
      <c r="M12" s="101"/>
      <c r="N12" s="101"/>
      <c r="O12" s="101"/>
      <c r="P12" s="101"/>
      <c r="Q12" s="101"/>
      <c r="R12" s="101"/>
      <c r="S12" s="101"/>
      <c r="T12" s="101">
        <f>500000+130000</f>
        <v>630000</v>
      </c>
      <c r="U12" s="55"/>
      <c r="V12" s="55"/>
      <c r="W12" s="55"/>
      <c r="X12" s="55">
        <f t="shared" si="0"/>
        <v>-103000</v>
      </c>
    </row>
    <row r="13" spans="1:25">
      <c r="A13" s="87"/>
      <c r="B13" s="87" t="s">
        <v>112</v>
      </c>
      <c r="C13" s="87"/>
      <c r="D13" s="87"/>
      <c r="E13" s="87"/>
      <c r="F13" s="101"/>
      <c r="G13" s="101"/>
      <c r="H13" s="101"/>
      <c r="I13" s="101"/>
      <c r="J13" s="101"/>
      <c r="K13" s="101"/>
      <c r="L13" s="101"/>
      <c r="M13" s="101"/>
      <c r="N13" s="101"/>
      <c r="O13" s="101"/>
      <c r="P13" s="101"/>
      <c r="Q13" s="101"/>
      <c r="R13" s="101"/>
      <c r="S13" s="101"/>
      <c r="T13" s="55"/>
      <c r="U13" s="55"/>
      <c r="V13" s="55"/>
      <c r="W13" s="55"/>
      <c r="X13" s="55">
        <f t="shared" si="0"/>
        <v>0</v>
      </c>
    </row>
    <row r="14" spans="1:25">
      <c r="A14" s="87"/>
      <c r="B14" s="87" t="s">
        <v>113</v>
      </c>
      <c r="C14" s="87"/>
      <c r="D14" s="87"/>
      <c r="E14" s="87"/>
      <c r="F14" s="101"/>
      <c r="G14" s="101"/>
      <c r="H14" s="101"/>
      <c r="I14" s="101"/>
      <c r="J14" s="101"/>
      <c r="K14" s="101"/>
      <c r="L14" s="101"/>
      <c r="M14" s="101"/>
      <c r="N14" s="101"/>
      <c r="O14" s="101"/>
      <c r="P14" s="101">
        <f>121189.09-72951.14</f>
        <v>48237.95</v>
      </c>
      <c r="Q14" s="101"/>
      <c r="R14" s="101"/>
      <c r="S14" s="101"/>
      <c r="T14" s="55"/>
      <c r="U14" s="55"/>
      <c r="V14" s="55"/>
      <c r="W14" s="55"/>
      <c r="X14" s="55">
        <f t="shared" si="0"/>
        <v>48237.95</v>
      </c>
    </row>
    <row r="15" spans="1:25">
      <c r="A15" s="87"/>
      <c r="B15" s="87" t="s">
        <v>114</v>
      </c>
      <c r="C15" s="87"/>
      <c r="D15" s="87"/>
      <c r="E15" s="87"/>
      <c r="F15" s="102"/>
      <c r="G15" s="101"/>
      <c r="H15" s="102"/>
      <c r="I15" s="101"/>
      <c r="J15" s="102"/>
      <c r="K15" s="101"/>
      <c r="L15" s="102"/>
      <c r="M15" s="101"/>
      <c r="N15" s="102"/>
      <c r="O15" s="101"/>
      <c r="P15" s="102"/>
      <c r="Q15" s="101"/>
      <c r="R15" s="102"/>
      <c r="S15" s="103"/>
      <c r="T15" s="101">
        <f>20505+95039-12619-11555+103906+2692</f>
        <v>197968</v>
      </c>
      <c r="U15" s="101"/>
      <c r="V15" s="101">
        <f>5567+5567+5567+5567-3+95888+79815</f>
        <v>197968</v>
      </c>
      <c r="W15" s="55"/>
      <c r="X15" s="55">
        <f t="shared" si="0"/>
        <v>0</v>
      </c>
      <c r="Y15" s="151" t="s">
        <v>268</v>
      </c>
    </row>
    <row r="16" spans="1:25">
      <c r="A16" s="87"/>
      <c r="B16" s="87"/>
      <c r="C16" s="87"/>
      <c r="D16" s="87"/>
      <c r="E16" s="87"/>
      <c r="F16" s="101">
        <f>SUM(F10:F15)</f>
        <v>917678.8</v>
      </c>
      <c r="G16" s="101">
        <f t="shared" ref="G16:R16" si="1">SUM(G10:G15)</f>
        <v>0</v>
      </c>
      <c r="H16" s="101">
        <f t="shared" si="1"/>
        <v>268440.43</v>
      </c>
      <c r="I16" s="101">
        <f t="shared" si="1"/>
        <v>0</v>
      </c>
      <c r="J16" s="101">
        <f t="shared" si="1"/>
        <v>1875.59</v>
      </c>
      <c r="K16" s="101">
        <f t="shared" si="1"/>
        <v>0</v>
      </c>
      <c r="L16" s="101">
        <f t="shared" si="1"/>
        <v>1817.57</v>
      </c>
      <c r="M16" s="101">
        <f t="shared" si="1"/>
        <v>0</v>
      </c>
      <c r="N16" s="101">
        <f t="shared" si="1"/>
        <v>4157.42</v>
      </c>
      <c r="O16" s="101">
        <f t="shared" si="1"/>
        <v>0</v>
      </c>
      <c r="P16" s="101">
        <f t="shared" si="1"/>
        <v>10186485.5</v>
      </c>
      <c r="Q16" s="101">
        <f t="shared" si="1"/>
        <v>0</v>
      </c>
      <c r="R16" s="101">
        <f t="shared" si="1"/>
        <v>0</v>
      </c>
      <c r="S16" s="101"/>
      <c r="T16" s="55"/>
      <c r="U16" s="55"/>
      <c r="V16" s="55"/>
      <c r="W16" s="55"/>
      <c r="X16" s="104">
        <f>SUM(X10:X15)</f>
        <v>10517455.310000001</v>
      </c>
    </row>
    <row r="17" spans="1:26">
      <c r="A17" s="87"/>
      <c r="B17" s="87"/>
      <c r="C17" s="87"/>
      <c r="D17" s="87"/>
      <c r="E17" s="87"/>
      <c r="F17" s="101"/>
      <c r="G17" s="101"/>
      <c r="H17" s="101"/>
      <c r="I17" s="101"/>
      <c r="J17" s="101"/>
      <c r="K17" s="101"/>
      <c r="L17" s="101"/>
      <c r="M17" s="101"/>
      <c r="N17" s="101"/>
      <c r="O17" s="101"/>
      <c r="P17" s="101"/>
      <c r="Q17" s="101"/>
      <c r="R17" s="101"/>
      <c r="S17" s="101"/>
      <c r="T17" s="55"/>
      <c r="U17" s="55"/>
      <c r="V17" s="55"/>
      <c r="W17" s="55"/>
      <c r="X17" s="104"/>
    </row>
    <row r="18" spans="1:26">
      <c r="A18" s="87"/>
      <c r="B18" s="100" t="s">
        <v>115</v>
      </c>
      <c r="C18" s="87"/>
      <c r="D18" s="87"/>
      <c r="E18" s="87"/>
      <c r="F18" s="103"/>
      <c r="G18" s="103"/>
      <c r="H18" s="103"/>
      <c r="I18" s="103"/>
      <c r="J18" s="103"/>
      <c r="K18" s="103"/>
      <c r="L18" s="103"/>
      <c r="M18" s="103"/>
      <c r="N18" s="103"/>
      <c r="O18" s="103"/>
      <c r="P18" s="103"/>
      <c r="Q18" s="101"/>
      <c r="R18" s="103"/>
      <c r="S18" s="103"/>
      <c r="T18" s="55"/>
      <c r="U18" s="55"/>
      <c r="V18" s="55"/>
      <c r="W18" s="55"/>
      <c r="X18" s="104"/>
    </row>
    <row r="19" spans="1:26">
      <c r="A19" s="89"/>
      <c r="B19" s="89" t="s">
        <v>69</v>
      </c>
      <c r="C19" s="89"/>
      <c r="D19" s="89"/>
      <c r="E19" s="89"/>
      <c r="F19" s="105"/>
      <c r="G19" s="103"/>
      <c r="H19" s="105">
        <v>1739559.52</v>
      </c>
      <c r="I19" s="103"/>
      <c r="J19" s="105"/>
      <c r="K19" s="103"/>
      <c r="L19" s="105">
        <v>61556.71</v>
      </c>
      <c r="M19" s="103"/>
      <c r="N19" s="105"/>
      <c r="O19" s="103"/>
      <c r="P19" s="105">
        <f>312249.23+341000+1016040.73</f>
        <v>1669289.96</v>
      </c>
      <c r="Q19" s="103"/>
      <c r="R19" s="105"/>
      <c r="S19" s="103"/>
      <c r="T19" s="103"/>
      <c r="U19" s="103"/>
      <c r="V19" s="103"/>
      <c r="W19" s="103"/>
      <c r="X19" s="105">
        <f t="shared" ref="X19:X28" si="2">SUM(F19:R19)+T19-V19</f>
        <v>3470406.19</v>
      </c>
    </row>
    <row r="20" spans="1:26">
      <c r="A20" s="89"/>
      <c r="B20" s="89" t="s">
        <v>116</v>
      </c>
      <c r="C20" s="89"/>
      <c r="D20" s="89"/>
      <c r="E20" s="89"/>
      <c r="F20" s="106"/>
      <c r="G20" s="103"/>
      <c r="H20" s="106">
        <f>1420150.43+4261</f>
        <v>1424411.43</v>
      </c>
      <c r="I20" s="103"/>
      <c r="J20" s="106">
        <v>900</v>
      </c>
      <c r="K20" s="103"/>
      <c r="L20" s="106">
        <v>6931.93</v>
      </c>
      <c r="M20" s="103"/>
      <c r="N20" s="106"/>
      <c r="O20" s="103"/>
      <c r="P20" s="106">
        <f>1335861.11-274714</f>
        <v>1061147.1100000001</v>
      </c>
      <c r="Q20" s="103"/>
      <c r="R20" s="106">
        <f>1408963.5+74155.95</f>
        <v>1483119.45</v>
      </c>
      <c r="S20" s="103"/>
      <c r="T20" s="103"/>
      <c r="U20" s="103"/>
      <c r="V20" s="103"/>
      <c r="W20" s="103"/>
      <c r="X20" s="106">
        <f t="shared" si="2"/>
        <v>3976509.92</v>
      </c>
    </row>
    <row r="21" spans="1:26">
      <c r="A21" s="89"/>
      <c r="B21" s="89" t="s">
        <v>118</v>
      </c>
      <c r="C21" s="89"/>
      <c r="D21" s="89"/>
      <c r="E21" s="89"/>
      <c r="F21" s="106"/>
      <c r="G21" s="103"/>
      <c r="H21" s="106"/>
      <c r="I21" s="103"/>
      <c r="J21" s="106"/>
      <c r="K21" s="103"/>
      <c r="L21" s="106"/>
      <c r="M21" s="103"/>
      <c r="N21" s="106">
        <f>359520.98+190377.05-155334.9+116345.51</f>
        <v>510908.64</v>
      </c>
      <c r="O21" s="103"/>
      <c r="P21" s="106"/>
      <c r="Q21" s="103"/>
      <c r="R21" s="106"/>
      <c r="S21" s="103"/>
      <c r="T21" s="103"/>
      <c r="U21" s="103"/>
      <c r="V21" s="103"/>
      <c r="W21" s="103"/>
      <c r="X21" s="106">
        <f t="shared" si="2"/>
        <v>510908.64</v>
      </c>
    </row>
    <row r="22" spans="1:26">
      <c r="A22" s="89"/>
      <c r="B22" s="89" t="s">
        <v>117</v>
      </c>
      <c r="C22" s="89"/>
      <c r="D22" s="89"/>
      <c r="E22" s="89"/>
      <c r="F22" s="106">
        <f>2584013.86+640+4100+3000+266028.34</f>
        <v>2857782.1999999997</v>
      </c>
      <c r="G22" s="103"/>
      <c r="H22" s="106">
        <f>582649.07+400000+278712.67+15080.05</f>
        <v>1276441.79</v>
      </c>
      <c r="I22" s="103"/>
      <c r="J22" s="106">
        <f>3731.8+20975.8</f>
        <v>24707.599999999999</v>
      </c>
      <c r="K22" s="103"/>
      <c r="L22" s="106">
        <f>190162.5+1801.18</f>
        <v>191963.68</v>
      </c>
      <c r="M22" s="103"/>
      <c r="N22" s="106">
        <f>2800+7400+174.05</f>
        <v>10374.049999999999</v>
      </c>
      <c r="O22" s="103"/>
      <c r="P22" s="106">
        <f>60274.13+25680+39006.5+295099.6</f>
        <v>420060.23</v>
      </c>
      <c r="Q22" s="103"/>
      <c r="R22" s="106"/>
      <c r="S22" s="103"/>
      <c r="T22" s="103"/>
      <c r="U22" s="103"/>
      <c r="V22" s="423"/>
      <c r="W22" s="103"/>
      <c r="X22" s="106">
        <f t="shared" si="2"/>
        <v>4781329.5499999989</v>
      </c>
    </row>
    <row r="23" spans="1:26">
      <c r="A23" s="89"/>
      <c r="B23" s="303" t="s">
        <v>119</v>
      </c>
      <c r="C23" s="303"/>
      <c r="D23" s="303"/>
      <c r="E23" s="303"/>
      <c r="F23" s="106"/>
      <c r="G23" s="103"/>
      <c r="H23" s="106"/>
      <c r="I23" s="103"/>
      <c r="J23" s="106"/>
      <c r="K23" s="103"/>
      <c r="L23" s="106"/>
      <c r="M23" s="103"/>
      <c r="N23" s="106"/>
      <c r="O23" s="103"/>
      <c r="P23" s="106"/>
      <c r="Q23" s="103"/>
      <c r="R23" s="106"/>
      <c r="S23" s="103"/>
      <c r="T23" s="103"/>
      <c r="U23" s="103"/>
      <c r="V23" s="103">
        <f>SUM(F23:S23)</f>
        <v>0</v>
      </c>
      <c r="W23" s="103"/>
      <c r="X23" s="106">
        <f t="shared" si="2"/>
        <v>0</v>
      </c>
      <c r="Y23" s="158">
        <f>SUM(V23:V25)</f>
        <v>14894783.450000001</v>
      </c>
    </row>
    <row r="24" spans="1:26">
      <c r="A24" s="89"/>
      <c r="B24" s="303" t="s">
        <v>120</v>
      </c>
      <c r="C24" s="303"/>
      <c r="D24" s="303"/>
      <c r="E24" s="303"/>
      <c r="F24" s="106"/>
      <c r="G24" s="103"/>
      <c r="H24" s="106">
        <f>122262.22+271971.77</f>
        <v>394233.99</v>
      </c>
      <c r="I24" s="103"/>
      <c r="J24" s="106">
        <v>1262254.46</v>
      </c>
      <c r="K24" s="103"/>
      <c r="L24" s="106">
        <f>1305352.56+100</f>
        <v>1305452.56</v>
      </c>
      <c r="M24" s="103"/>
      <c r="N24" s="106"/>
      <c r="O24" s="103"/>
      <c r="P24" s="106">
        <f>1420201.58+30000</f>
        <v>1450201.58</v>
      </c>
      <c r="Q24" s="103"/>
      <c r="R24" s="106"/>
      <c r="S24" s="103"/>
      <c r="T24" s="191"/>
      <c r="U24" s="103"/>
      <c r="V24" s="103">
        <f>SUM(F24:R24)</f>
        <v>4412142.59</v>
      </c>
      <c r="W24" s="103"/>
      <c r="X24" s="301">
        <f t="shared" si="2"/>
        <v>0</v>
      </c>
      <c r="Y24" s="254">
        <v>398509.72</v>
      </c>
    </row>
    <row r="25" spans="1:26">
      <c r="A25" s="89"/>
      <c r="B25" s="304" t="s">
        <v>121</v>
      </c>
      <c r="C25" s="303"/>
      <c r="D25" s="303"/>
      <c r="E25" s="303"/>
      <c r="F25" s="106">
        <f>2861437.96+128774.6+6993880.7+443718.22+54829.38</f>
        <v>10482640.860000001</v>
      </c>
      <c r="G25" s="103"/>
      <c r="H25" s="106"/>
      <c r="I25" s="103"/>
      <c r="J25" s="106"/>
      <c r="K25" s="103"/>
      <c r="L25" s="106"/>
      <c r="M25" s="103"/>
      <c r="N25" s="106"/>
      <c r="O25" s="103"/>
      <c r="P25" s="106"/>
      <c r="Q25" s="103"/>
      <c r="R25" s="106"/>
      <c r="S25" s="103"/>
      <c r="T25" s="191"/>
      <c r="U25" s="103"/>
      <c r="V25" s="103">
        <f>SUM(F25:R25)</f>
        <v>10482640.860000001</v>
      </c>
      <c r="W25" s="103"/>
      <c r="X25" s="106">
        <f t="shared" si="2"/>
        <v>0</v>
      </c>
      <c r="Y25">
        <v>3599646.44</v>
      </c>
      <c r="Z25" s="158">
        <f>SUM(V23:V25)</f>
        <v>14894783.450000001</v>
      </c>
    </row>
    <row r="26" spans="1:26">
      <c r="A26" s="89"/>
      <c r="B26" s="89" t="s">
        <v>122</v>
      </c>
      <c r="C26" s="89"/>
      <c r="D26" s="89"/>
      <c r="E26" s="89"/>
      <c r="F26" s="106">
        <v>500000</v>
      </c>
      <c r="G26" s="101"/>
      <c r="H26" s="106">
        <v>1250000</v>
      </c>
      <c r="I26" s="101"/>
      <c r="J26" s="106"/>
      <c r="K26" s="101"/>
      <c r="L26" s="106">
        <v>300000</v>
      </c>
      <c r="M26" s="101"/>
      <c r="N26" s="106"/>
      <c r="O26" s="101"/>
      <c r="P26" s="106"/>
      <c r="Q26" s="101"/>
      <c r="R26" s="106"/>
      <c r="S26" s="103"/>
      <c r="T26" s="101"/>
      <c r="U26" s="101"/>
      <c r="V26" s="101"/>
      <c r="W26" s="101"/>
      <c r="X26" s="313">
        <f t="shared" si="2"/>
        <v>2050000</v>
      </c>
      <c r="Z26" s="158">
        <f>SUM(T34:T36)</f>
        <v>14894783.670000002</v>
      </c>
    </row>
    <row r="27" spans="1:26">
      <c r="A27" s="89"/>
      <c r="B27" s="89" t="s">
        <v>123</v>
      </c>
      <c r="C27" s="89"/>
      <c r="D27" s="89"/>
      <c r="E27" s="89"/>
      <c r="F27" s="106">
        <v>51178.26</v>
      </c>
      <c r="G27" s="101"/>
      <c r="H27" s="106">
        <v>38391.449999999997</v>
      </c>
      <c r="I27" s="101"/>
      <c r="J27" s="106"/>
      <c r="K27" s="101"/>
      <c r="L27" s="106">
        <v>54954.6</v>
      </c>
      <c r="M27" s="101"/>
      <c r="N27" s="106"/>
      <c r="O27" s="101"/>
      <c r="P27" s="106"/>
      <c r="Q27" s="101"/>
      <c r="R27" s="106"/>
      <c r="S27" s="103"/>
      <c r="T27" s="101"/>
      <c r="U27" s="101"/>
      <c r="V27" s="101"/>
      <c r="W27" s="101"/>
      <c r="X27" s="313">
        <f t="shared" si="2"/>
        <v>144524.31</v>
      </c>
      <c r="Z27" s="158">
        <f>Z25-Z26</f>
        <v>-0.22000000067055225</v>
      </c>
    </row>
    <row r="28" spans="1:26">
      <c r="A28" s="89"/>
      <c r="B28" s="89" t="s">
        <v>30</v>
      </c>
      <c r="C28" s="89"/>
      <c r="D28" s="89"/>
      <c r="E28" s="89"/>
      <c r="F28" s="106">
        <f>120+2004</f>
        <v>2124</v>
      </c>
      <c r="G28" s="103"/>
      <c r="H28" s="106">
        <f>-2318.7+3852.63+1962.74+1914.63</f>
        <v>5411.3</v>
      </c>
      <c r="I28" s="103"/>
      <c r="J28" s="106">
        <v>1212.33</v>
      </c>
      <c r="K28" s="103"/>
      <c r="L28" s="106">
        <f>187.9+2628.2</f>
        <v>2816.1</v>
      </c>
      <c r="M28" s="103"/>
      <c r="N28" s="106">
        <f>74.81+1017</f>
        <v>1091.81</v>
      </c>
      <c r="O28" s="103"/>
      <c r="P28" s="106">
        <f>315.96+1009.5</f>
        <v>1325.46</v>
      </c>
      <c r="Q28" s="103"/>
      <c r="R28" s="106">
        <v>276.57</v>
      </c>
      <c r="S28" s="103"/>
      <c r="T28" s="103"/>
      <c r="U28" s="103"/>
      <c r="V28" s="103"/>
      <c r="W28" s="103"/>
      <c r="X28" s="106">
        <f t="shared" si="2"/>
        <v>14257.57</v>
      </c>
    </row>
    <row r="29" spans="1:26">
      <c r="A29" s="89"/>
      <c r="B29" s="192" t="s">
        <v>270</v>
      </c>
      <c r="C29" s="192"/>
      <c r="D29" s="192"/>
      <c r="E29" s="89"/>
      <c r="F29" s="109">
        <f>SUM(F19:F28)</f>
        <v>13893725.32</v>
      </c>
      <c r="G29" s="103"/>
      <c r="H29" s="109">
        <f>SUM(H19:H28)</f>
        <v>6128449.4800000004</v>
      </c>
      <c r="I29" s="103"/>
      <c r="J29" s="109">
        <f>SUM(J19:J28)</f>
        <v>1289074.3900000001</v>
      </c>
      <c r="K29" s="103"/>
      <c r="L29" s="109">
        <f>SUM(L19:L28)</f>
        <v>1923675.5800000003</v>
      </c>
      <c r="M29" s="103"/>
      <c r="N29" s="109">
        <f>SUM(N19:N28)</f>
        <v>522374.5</v>
      </c>
      <c r="O29" s="103"/>
      <c r="P29" s="109">
        <f>SUM(P19:P28)</f>
        <v>4602024.3400000008</v>
      </c>
      <c r="Q29" s="103"/>
      <c r="R29" s="109">
        <f>SUM(R19:R28)</f>
        <v>1483396.02</v>
      </c>
      <c r="S29" s="103"/>
      <c r="T29" s="103"/>
      <c r="U29" s="103"/>
      <c r="V29" s="103"/>
      <c r="W29" s="103"/>
      <c r="X29" s="108">
        <f>SUM(X19:X28)</f>
        <v>14947936.179999998</v>
      </c>
    </row>
    <row r="30" spans="1:26">
      <c r="A30" s="89"/>
      <c r="B30" s="89"/>
      <c r="C30" s="89"/>
      <c r="D30" s="89"/>
      <c r="E30" s="89"/>
      <c r="F30" s="105"/>
      <c r="G30" s="103"/>
      <c r="H30" s="105"/>
      <c r="I30" s="103"/>
      <c r="J30" s="105"/>
      <c r="K30" s="103"/>
      <c r="L30" s="105"/>
      <c r="M30" s="103"/>
      <c r="N30" s="105"/>
      <c r="O30" s="103"/>
      <c r="P30" s="105"/>
      <c r="Q30" s="103"/>
      <c r="R30" s="105"/>
      <c r="S30" s="103"/>
      <c r="T30" s="103"/>
      <c r="U30" s="103"/>
      <c r="V30" s="103"/>
      <c r="W30" s="103"/>
      <c r="X30" s="106"/>
    </row>
    <row r="31" spans="1:26">
      <c r="A31" s="89"/>
      <c r="B31" s="90" t="s">
        <v>124</v>
      </c>
      <c r="C31" s="89"/>
      <c r="D31" s="89"/>
      <c r="E31" s="89"/>
      <c r="F31" s="106"/>
      <c r="G31" s="103"/>
      <c r="H31" s="106"/>
      <c r="I31" s="103"/>
      <c r="J31" s="106"/>
      <c r="K31" s="103"/>
      <c r="L31" s="106"/>
      <c r="M31" s="103"/>
      <c r="N31" s="106"/>
      <c r="O31" s="103"/>
      <c r="P31" s="106"/>
      <c r="Q31" s="103"/>
      <c r="R31" s="106"/>
      <c r="S31" s="103"/>
      <c r="T31" s="103"/>
      <c r="U31" s="103"/>
      <c r="V31" s="103"/>
      <c r="W31" s="103"/>
      <c r="X31" s="106"/>
    </row>
    <row r="32" spans="1:26">
      <c r="A32" s="89"/>
      <c r="B32" s="89" t="s">
        <v>125</v>
      </c>
      <c r="C32" s="89"/>
      <c r="D32" s="89"/>
      <c r="E32" s="89"/>
      <c r="F32" s="106"/>
      <c r="G32" s="103"/>
      <c r="H32" s="106">
        <v>329727.19</v>
      </c>
      <c r="I32" s="103"/>
      <c r="J32" s="106">
        <v>850</v>
      </c>
      <c r="K32" s="103"/>
      <c r="L32" s="106">
        <v>23254.9</v>
      </c>
      <c r="M32" s="103"/>
      <c r="N32" s="106">
        <v>285901.5</v>
      </c>
      <c r="O32" s="103"/>
      <c r="P32" s="106">
        <v>202768.06</v>
      </c>
      <c r="Q32" s="103"/>
      <c r="R32" s="106">
        <v>1348289.9</v>
      </c>
      <c r="S32" s="103"/>
      <c r="T32" s="103"/>
      <c r="U32" s="103"/>
      <c r="V32" s="103"/>
      <c r="W32" s="103"/>
      <c r="X32" s="106">
        <f t="shared" ref="X32:X43" si="3">SUM(F32:S32)-T32+V32</f>
        <v>2190791.5499999998</v>
      </c>
    </row>
    <row r="33" spans="1:26">
      <c r="A33" s="89"/>
      <c r="B33" s="89" t="s">
        <v>126</v>
      </c>
      <c r="C33" s="89"/>
      <c r="D33" s="89"/>
      <c r="E33" s="89"/>
      <c r="F33" s="106">
        <f>242955.42+109732.52</f>
        <v>352687.94</v>
      </c>
      <c r="G33" s="103"/>
      <c r="H33" s="106">
        <f>32316.05+34290.57</f>
        <v>66606.62</v>
      </c>
      <c r="I33" s="103"/>
      <c r="J33" s="106">
        <v>12652.66</v>
      </c>
      <c r="K33" s="103"/>
      <c r="L33" s="106">
        <f>40858.25+16393.89</f>
        <v>57252.14</v>
      </c>
      <c r="M33" s="103"/>
      <c r="N33" s="106">
        <f>69889.1+18766.4</f>
        <v>88655.5</v>
      </c>
      <c r="O33" s="103"/>
      <c r="P33" s="106">
        <f>277495.54+45413.66+12682</f>
        <v>335591.19999999995</v>
      </c>
      <c r="Q33" s="103"/>
      <c r="R33" s="106">
        <f>5775.2+850</f>
        <v>6625.2</v>
      </c>
      <c r="S33" s="103"/>
      <c r="T33" s="103"/>
      <c r="U33" s="103"/>
      <c r="V33" s="103"/>
      <c r="W33" s="103"/>
      <c r="X33" s="106">
        <f t="shared" si="3"/>
        <v>920071.25999999989</v>
      </c>
    </row>
    <row r="34" spans="1:26">
      <c r="A34" s="89"/>
      <c r="B34" s="303" t="s">
        <v>127</v>
      </c>
      <c r="C34" s="303"/>
      <c r="D34" s="303"/>
      <c r="E34" s="303"/>
      <c r="F34" s="106"/>
      <c r="G34" s="103"/>
      <c r="H34" s="106"/>
      <c r="I34" s="103"/>
      <c r="J34" s="106"/>
      <c r="K34" s="103"/>
      <c r="L34" s="106"/>
      <c r="M34" s="103"/>
      <c r="N34" s="106"/>
      <c r="O34" s="103"/>
      <c r="P34" s="106"/>
      <c r="Q34" s="103"/>
      <c r="R34" s="106"/>
      <c r="S34" s="103"/>
      <c r="T34" s="103">
        <f>SUM(F34:S34)</f>
        <v>0</v>
      </c>
      <c r="U34" s="103"/>
      <c r="V34" s="103"/>
      <c r="W34" s="103"/>
      <c r="X34" s="106">
        <f t="shared" si="3"/>
        <v>0</v>
      </c>
    </row>
    <row r="35" spans="1:26">
      <c r="A35" s="89"/>
      <c r="B35" s="304" t="s">
        <v>128</v>
      </c>
      <c r="C35" s="303"/>
      <c r="D35" s="303"/>
      <c r="E35" s="303"/>
      <c r="F35" s="106"/>
      <c r="G35" s="103"/>
      <c r="H35" s="106">
        <v>2861437.96</v>
      </c>
      <c r="I35" s="103"/>
      <c r="J35" s="106">
        <v>128774.6</v>
      </c>
      <c r="K35" s="103"/>
      <c r="L35" s="106">
        <v>443718.22</v>
      </c>
      <c r="M35" s="103"/>
      <c r="N35" s="106"/>
      <c r="O35" s="103"/>
      <c r="P35" s="106">
        <v>6993880.0700000003</v>
      </c>
      <c r="Q35" s="103"/>
      <c r="R35" s="106">
        <v>54829.38</v>
      </c>
      <c r="S35" s="103"/>
      <c r="T35" s="103">
        <f>SUM(F35:R35)</f>
        <v>10482640.230000002</v>
      </c>
      <c r="U35" s="103"/>
      <c r="V35" s="103"/>
      <c r="W35" s="103"/>
      <c r="X35" s="106">
        <f t="shared" si="3"/>
        <v>0</v>
      </c>
      <c r="Z35">
        <v>10000</v>
      </c>
    </row>
    <row r="36" spans="1:26">
      <c r="A36" s="89"/>
      <c r="B36" s="303" t="s">
        <v>129</v>
      </c>
      <c r="C36" s="303"/>
      <c r="D36" s="303"/>
      <c r="E36" s="303"/>
      <c r="F36" s="106"/>
      <c r="G36" s="103"/>
      <c r="H36" s="106">
        <f>782167.85+1420201.58</f>
        <v>2202369.4300000002</v>
      </c>
      <c r="I36" s="103"/>
      <c r="J36" s="106"/>
      <c r="K36" s="103"/>
      <c r="L36" s="106">
        <f>271971.77+3775.01</f>
        <v>275746.78000000003</v>
      </c>
      <c r="M36" s="103"/>
      <c r="N36" s="106">
        <v>100</v>
      </c>
      <c r="O36" s="103"/>
      <c r="P36" s="106">
        <f>476312.45+1305352.56</f>
        <v>1781665.01</v>
      </c>
      <c r="Q36" s="103"/>
      <c r="R36" s="106">
        <v>152262.22</v>
      </c>
      <c r="S36" s="103"/>
      <c r="T36" s="103">
        <f>SUM(F36:R36)</f>
        <v>4412143.4399999995</v>
      </c>
      <c r="U36" s="103"/>
      <c r="V36" s="103"/>
      <c r="W36" s="103"/>
      <c r="X36" s="106">
        <f>SUM(F36:S36)-T36+V36</f>
        <v>0</v>
      </c>
      <c r="Y36" s="158">
        <f>SUM(T34:T36)</f>
        <v>14894783.670000002</v>
      </c>
      <c r="Z36">
        <v>84914</v>
      </c>
    </row>
    <row r="37" spans="1:26">
      <c r="A37" s="89"/>
      <c r="B37" s="303" t="s">
        <v>130</v>
      </c>
      <c r="C37" s="303"/>
      <c r="D37" s="303"/>
      <c r="E37" s="303"/>
      <c r="F37" s="106"/>
      <c r="G37" s="103"/>
      <c r="H37" s="106"/>
      <c r="I37" s="103"/>
      <c r="J37" s="106"/>
      <c r="K37" s="103"/>
      <c r="L37" s="106"/>
      <c r="M37" s="103"/>
      <c r="N37" s="106"/>
      <c r="O37" s="103"/>
      <c r="P37" s="106"/>
      <c r="Q37" s="103"/>
      <c r="R37" s="106"/>
      <c r="S37" s="103"/>
      <c r="T37" s="103"/>
      <c r="U37" s="103"/>
      <c r="V37" s="103"/>
      <c r="W37" s="103"/>
      <c r="X37" s="106">
        <f t="shared" si="3"/>
        <v>0</v>
      </c>
      <c r="Y37" s="302">
        <f>Y23-Y36</f>
        <v>-0.22000000067055225</v>
      </c>
      <c r="Z37" s="266" t="s">
        <v>274</v>
      </c>
    </row>
    <row r="38" spans="1:26">
      <c r="A38" s="89"/>
      <c r="B38" s="89" t="s">
        <v>131</v>
      </c>
      <c r="C38" s="89"/>
      <c r="D38" s="89"/>
      <c r="E38" s="89"/>
      <c r="F38" s="106">
        <v>62815.06</v>
      </c>
      <c r="G38" s="103"/>
      <c r="H38" s="106"/>
      <c r="I38" s="103"/>
      <c r="J38" s="106"/>
      <c r="K38" s="103"/>
      <c r="L38" s="106"/>
      <c r="M38" s="103"/>
      <c r="N38" s="106"/>
      <c r="O38" s="103"/>
      <c r="P38" s="106"/>
      <c r="Q38" s="103"/>
      <c r="R38" s="106"/>
      <c r="S38" s="103"/>
      <c r="T38" s="103"/>
      <c r="U38" s="103"/>
      <c r="V38" s="103"/>
      <c r="W38" s="103"/>
      <c r="X38" s="106">
        <f>SUM(F38:S38)-T38+V38</f>
        <v>62815.06</v>
      </c>
    </row>
    <row r="39" spans="1:26">
      <c r="A39" s="89"/>
      <c r="B39" s="89" t="s">
        <v>132</v>
      </c>
      <c r="C39" s="89"/>
      <c r="D39" s="89"/>
      <c r="E39" s="89"/>
      <c r="F39" s="106"/>
      <c r="G39" s="103"/>
      <c r="H39" s="106"/>
      <c r="I39" s="103"/>
      <c r="J39" s="106"/>
      <c r="K39" s="103"/>
      <c r="L39" s="106">
        <v>2529.4</v>
      </c>
      <c r="M39" s="103"/>
      <c r="N39" s="106"/>
      <c r="O39" s="103"/>
      <c r="P39" s="106"/>
      <c r="Q39" s="103"/>
      <c r="R39" s="106"/>
      <c r="S39" s="103"/>
      <c r="T39" s="103"/>
      <c r="U39" s="103"/>
      <c r="V39" s="103"/>
      <c r="W39" s="103"/>
      <c r="X39" s="106">
        <f t="shared" si="3"/>
        <v>2529.4</v>
      </c>
      <c r="Y39" s="158">
        <v>234581.97</v>
      </c>
    </row>
    <row r="40" spans="1:26">
      <c r="A40" s="89"/>
      <c r="B40" s="89" t="s">
        <v>133</v>
      </c>
      <c r="C40" s="89"/>
      <c r="D40" s="89"/>
      <c r="E40" s="89"/>
      <c r="F40" s="106">
        <f>303400.66+44886.16</f>
        <v>348286.81999999995</v>
      </c>
      <c r="G40" s="103"/>
      <c r="H40" s="106">
        <f>360022.91</f>
        <v>360022.91</v>
      </c>
      <c r="I40" s="103"/>
      <c r="J40" s="106"/>
      <c r="K40" s="103"/>
      <c r="L40" s="106">
        <f>2043.85+187148.95</f>
        <v>189192.80000000002</v>
      </c>
      <c r="M40" s="103"/>
      <c r="N40" s="106">
        <v>4917.55</v>
      </c>
      <c r="O40" s="103"/>
      <c r="P40" s="106">
        <v>516848.1</v>
      </c>
      <c r="Q40" s="103"/>
      <c r="R40" s="106"/>
      <c r="S40" s="103"/>
      <c r="T40" s="103"/>
      <c r="U40" s="103"/>
      <c r="V40" s="103"/>
      <c r="W40" s="103"/>
      <c r="X40" s="106">
        <f t="shared" si="3"/>
        <v>1419268.1800000002</v>
      </c>
      <c r="Y40">
        <v>-261986.02</v>
      </c>
    </row>
    <row r="41" spans="1:26">
      <c r="A41" s="89"/>
      <c r="B41" s="89" t="s">
        <v>134</v>
      </c>
      <c r="C41" s="89"/>
      <c r="D41" s="89"/>
      <c r="E41" s="89"/>
      <c r="F41" s="106"/>
      <c r="G41" s="103"/>
      <c r="H41" s="106">
        <v>1112000</v>
      </c>
      <c r="I41" s="103"/>
      <c r="J41" s="106"/>
      <c r="K41" s="103"/>
      <c r="L41" s="106">
        <v>368890</v>
      </c>
      <c r="M41" s="103"/>
      <c r="N41" s="106"/>
      <c r="O41" s="103"/>
      <c r="P41" s="106">
        <v>995000</v>
      </c>
      <c r="Q41" s="103"/>
      <c r="R41" s="106"/>
      <c r="S41" s="103"/>
      <c r="T41" s="103"/>
      <c r="U41" s="103"/>
      <c r="V41" s="103"/>
      <c r="W41" s="103"/>
      <c r="X41" s="106">
        <f t="shared" si="3"/>
        <v>2475890</v>
      </c>
    </row>
    <row r="42" spans="1:26">
      <c r="A42" s="89"/>
      <c r="B42" s="89" t="s">
        <v>294</v>
      </c>
      <c r="C42" s="89"/>
      <c r="D42" s="89"/>
      <c r="E42" s="89"/>
      <c r="F42" s="106"/>
      <c r="G42" s="103"/>
      <c r="H42" s="106">
        <v>51142.86</v>
      </c>
      <c r="I42" s="103"/>
      <c r="J42" s="106"/>
      <c r="K42" s="103"/>
      <c r="L42" s="106"/>
      <c r="M42" s="103"/>
      <c r="N42" s="106"/>
      <c r="O42" s="103"/>
      <c r="P42" s="106">
        <v>183000</v>
      </c>
      <c r="Q42" s="103"/>
      <c r="R42" s="106"/>
      <c r="S42" s="103"/>
      <c r="T42" s="103"/>
      <c r="U42" s="103"/>
      <c r="V42" s="103"/>
      <c r="W42" s="103"/>
      <c r="X42" s="106">
        <f t="shared" si="3"/>
        <v>234142.86</v>
      </c>
    </row>
    <row r="43" spans="1:26">
      <c r="A43" s="89"/>
      <c r="B43" s="89" t="s">
        <v>293</v>
      </c>
      <c r="C43" s="89"/>
      <c r="D43" s="89"/>
      <c r="E43" s="89"/>
      <c r="F43" s="108"/>
      <c r="G43" s="103"/>
      <c r="H43" s="108"/>
      <c r="I43" s="103"/>
      <c r="J43" s="108"/>
      <c r="K43" s="103"/>
      <c r="L43" s="108"/>
      <c r="M43" s="103"/>
      <c r="N43" s="108"/>
      <c r="O43" s="103"/>
      <c r="P43" s="108">
        <f>387235.83-183000</f>
        <v>204235.83000000002</v>
      </c>
      <c r="Q43" s="103"/>
      <c r="R43" s="108"/>
      <c r="S43" s="103"/>
      <c r="T43" s="103"/>
      <c r="U43" s="103"/>
      <c r="V43" s="103"/>
      <c r="W43" s="103"/>
      <c r="X43" s="106">
        <f t="shared" si="3"/>
        <v>204235.83000000002</v>
      </c>
    </row>
    <row r="44" spans="1:26">
      <c r="A44" s="89"/>
      <c r="B44" s="89"/>
      <c r="C44" s="89"/>
      <c r="D44" s="89"/>
      <c r="E44" s="89"/>
      <c r="F44" s="109">
        <f>SUM(F31:F43)</f>
        <v>763789.82</v>
      </c>
      <c r="G44" s="109">
        <f t="shared" ref="G44:R44" si="4">SUM(G31:G43)</f>
        <v>0</v>
      </c>
      <c r="H44" s="109">
        <f t="shared" si="4"/>
        <v>6983306.9700000007</v>
      </c>
      <c r="I44" s="109">
        <f t="shared" si="4"/>
        <v>0</v>
      </c>
      <c r="J44" s="109">
        <f t="shared" si="4"/>
        <v>142277.26</v>
      </c>
      <c r="K44" s="109">
        <f t="shared" si="4"/>
        <v>0</v>
      </c>
      <c r="L44" s="109">
        <f t="shared" si="4"/>
        <v>1360584.2400000002</v>
      </c>
      <c r="M44" s="109">
        <f t="shared" si="4"/>
        <v>0</v>
      </c>
      <c r="N44" s="109">
        <f t="shared" si="4"/>
        <v>379574.55</v>
      </c>
      <c r="O44" s="109"/>
      <c r="P44" s="109">
        <f>SUM(P31:P43)</f>
        <v>11212988.27</v>
      </c>
      <c r="Q44" s="109">
        <f t="shared" si="4"/>
        <v>0</v>
      </c>
      <c r="R44" s="291">
        <f t="shared" si="4"/>
        <v>1562006.6999999997</v>
      </c>
      <c r="S44" s="103">
        <f>SUM(S31:S43)</f>
        <v>0</v>
      </c>
      <c r="T44" s="103"/>
      <c r="U44" s="103"/>
      <c r="V44" s="103"/>
      <c r="W44" s="103"/>
      <c r="X44" s="109">
        <f>SUM(X32:X43)</f>
        <v>7509744.1399999997</v>
      </c>
    </row>
    <row r="45" spans="1:26">
      <c r="A45" s="89"/>
      <c r="B45" s="89"/>
      <c r="C45" s="89"/>
      <c r="D45" s="89"/>
      <c r="E45" s="98"/>
      <c r="F45" s="103"/>
      <c r="G45" s="103"/>
      <c r="H45" s="103"/>
      <c r="I45" s="103"/>
      <c r="J45" s="103"/>
      <c r="K45" s="103"/>
      <c r="L45" s="103"/>
      <c r="M45" s="103"/>
      <c r="N45" s="103"/>
      <c r="O45" s="103"/>
      <c r="P45" s="103"/>
      <c r="Q45" s="103"/>
      <c r="R45" s="103"/>
      <c r="S45" s="103"/>
      <c r="T45" s="103"/>
      <c r="U45" s="103"/>
      <c r="V45" s="103"/>
      <c r="W45" s="103"/>
      <c r="X45" s="101"/>
    </row>
    <row r="46" spans="1:26">
      <c r="A46" s="89"/>
      <c r="B46" s="90" t="s">
        <v>135</v>
      </c>
      <c r="C46" s="89"/>
      <c r="D46" s="89"/>
      <c r="E46" s="98"/>
      <c r="F46" s="293">
        <f t="shared" ref="F46:S46" si="5">+F29-F44</f>
        <v>13129935.5</v>
      </c>
      <c r="G46" s="293">
        <f t="shared" si="5"/>
        <v>0</v>
      </c>
      <c r="H46" s="293">
        <f t="shared" si="5"/>
        <v>-854857.49000000022</v>
      </c>
      <c r="I46" s="293">
        <f t="shared" si="5"/>
        <v>0</v>
      </c>
      <c r="J46" s="293">
        <f t="shared" si="5"/>
        <v>1146797.1300000001</v>
      </c>
      <c r="K46" s="293">
        <f t="shared" si="5"/>
        <v>0</v>
      </c>
      <c r="L46" s="293">
        <f t="shared" si="5"/>
        <v>563091.34000000008</v>
      </c>
      <c r="M46" s="293">
        <f t="shared" si="5"/>
        <v>0</v>
      </c>
      <c r="N46" s="293">
        <f t="shared" si="5"/>
        <v>142799.95000000001</v>
      </c>
      <c r="O46" s="293">
        <f t="shared" si="5"/>
        <v>0</v>
      </c>
      <c r="P46" s="293">
        <f t="shared" si="5"/>
        <v>-6610963.9299999988</v>
      </c>
      <c r="Q46" s="293">
        <f t="shared" si="5"/>
        <v>0</v>
      </c>
      <c r="R46" s="293">
        <f t="shared" si="5"/>
        <v>-78610.679999999702</v>
      </c>
      <c r="S46" s="293">
        <f t="shared" si="5"/>
        <v>0</v>
      </c>
      <c r="T46" s="293"/>
      <c r="U46" s="293"/>
      <c r="V46" s="293"/>
      <c r="W46" s="293"/>
      <c r="X46" s="300">
        <f>+X29-X44</f>
        <v>7438192.0399999982</v>
      </c>
    </row>
    <row r="47" spans="1:26">
      <c r="A47" s="89"/>
      <c r="B47" s="89"/>
      <c r="C47" s="89"/>
      <c r="D47" s="89"/>
      <c r="E47" s="98"/>
      <c r="F47" s="103"/>
      <c r="G47" s="103"/>
      <c r="H47" s="103"/>
      <c r="I47" s="103"/>
      <c r="J47" s="103"/>
      <c r="K47" s="103"/>
      <c r="L47" s="103"/>
      <c r="M47" s="103"/>
      <c r="N47" s="103"/>
      <c r="O47" s="103"/>
      <c r="P47" s="103"/>
      <c r="Q47" s="103"/>
      <c r="R47" s="103"/>
      <c r="S47" s="103"/>
      <c r="T47" s="103"/>
      <c r="U47" s="103"/>
      <c r="V47" s="103"/>
      <c r="W47" s="103"/>
      <c r="X47" s="101"/>
    </row>
    <row r="48" spans="1:26">
      <c r="A48" s="89"/>
      <c r="B48" s="90" t="s">
        <v>136</v>
      </c>
      <c r="C48" s="89"/>
      <c r="D48" s="89"/>
      <c r="E48" s="98"/>
      <c r="F48" s="103"/>
      <c r="G48" s="103"/>
      <c r="H48" s="103"/>
      <c r="I48" s="103"/>
      <c r="J48" s="103"/>
      <c r="K48" s="103"/>
      <c r="L48" s="103"/>
      <c r="M48" s="103"/>
      <c r="N48" s="103"/>
      <c r="O48" s="103"/>
      <c r="P48" s="103"/>
      <c r="Q48" s="103"/>
      <c r="R48" s="103"/>
      <c r="S48" s="103"/>
      <c r="T48" s="103"/>
      <c r="U48" s="103"/>
      <c r="V48" s="103"/>
      <c r="W48" s="103"/>
      <c r="X48" s="101"/>
    </row>
    <row r="49" spans="1:26">
      <c r="A49" s="89"/>
      <c r="B49" s="89"/>
      <c r="C49" s="89" t="s">
        <v>137</v>
      </c>
      <c r="D49" s="90"/>
      <c r="E49" s="98"/>
      <c r="F49" s="105"/>
      <c r="G49" s="103"/>
      <c r="H49" s="105">
        <v>123045.14</v>
      </c>
      <c r="I49" s="103"/>
      <c r="J49" s="105"/>
      <c r="K49" s="103"/>
      <c r="L49" s="105"/>
      <c r="M49" s="103"/>
      <c r="N49" s="105"/>
      <c r="O49" s="103"/>
      <c r="P49" s="105"/>
      <c r="Q49" s="103"/>
      <c r="R49" s="105"/>
      <c r="S49" s="103"/>
      <c r="T49" s="103"/>
      <c r="U49" s="103"/>
      <c r="V49" s="103"/>
      <c r="W49" s="103"/>
      <c r="X49" s="105">
        <f>SUM(F49:S49)+T49-V49</f>
        <v>123045.14</v>
      </c>
      <c r="Y49" s="158"/>
    </row>
    <row r="50" spans="1:26">
      <c r="A50" s="89"/>
      <c r="B50" s="89"/>
      <c r="C50" s="89" t="s">
        <v>138</v>
      </c>
      <c r="D50" s="90"/>
      <c r="E50" s="98"/>
      <c r="F50" s="106"/>
      <c r="G50" s="103"/>
      <c r="H50" s="106"/>
      <c r="I50" s="103"/>
      <c r="J50" s="106"/>
      <c r="K50" s="103"/>
      <c r="L50" s="106"/>
      <c r="M50" s="103"/>
      <c r="N50" s="106"/>
      <c r="O50" s="103"/>
      <c r="P50" s="106">
        <v>3991397.87</v>
      </c>
      <c r="Q50" s="103"/>
      <c r="R50" s="106"/>
      <c r="S50" s="103"/>
      <c r="T50" s="103"/>
      <c r="U50" s="103"/>
      <c r="V50" s="103"/>
      <c r="W50" s="103"/>
      <c r="X50" s="106">
        <f>SUM(F50:S50)+T50-V50</f>
        <v>3991397.87</v>
      </c>
      <c r="Y50" s="158"/>
    </row>
    <row r="51" spans="1:26">
      <c r="A51" s="89"/>
      <c r="B51" s="89"/>
      <c r="C51" s="89" t="s">
        <v>139</v>
      </c>
      <c r="D51" s="90"/>
      <c r="E51" s="98"/>
      <c r="F51" s="108"/>
      <c r="G51" s="103"/>
      <c r="H51" s="108">
        <v>14693</v>
      </c>
      <c r="I51" s="103"/>
      <c r="J51" s="108">
        <v>526</v>
      </c>
      <c r="K51" s="103"/>
      <c r="L51" s="108"/>
      <c r="M51" s="103"/>
      <c r="N51" s="108"/>
      <c r="O51" s="103"/>
      <c r="P51" s="108"/>
      <c r="Q51" s="103"/>
      <c r="R51" s="108"/>
      <c r="S51" s="103"/>
      <c r="T51" s="103"/>
      <c r="U51" s="103"/>
      <c r="V51" s="103"/>
      <c r="W51" s="103"/>
      <c r="X51" s="108">
        <f>SUM(F51:S51)+T51-V51</f>
        <v>15219</v>
      </c>
    </row>
    <row r="52" spans="1:26">
      <c r="A52" s="89"/>
      <c r="B52" s="89"/>
      <c r="C52" s="89"/>
      <c r="D52" s="90"/>
      <c r="E52" s="98"/>
      <c r="F52" s="103">
        <f>-F49-F51</f>
        <v>0</v>
      </c>
      <c r="G52" s="103"/>
      <c r="H52" s="103">
        <f>-H49-H51</f>
        <v>-137738.14000000001</v>
      </c>
      <c r="I52" s="103"/>
      <c r="J52" s="103">
        <f>-J49-J51</f>
        <v>-526</v>
      </c>
      <c r="K52" s="103"/>
      <c r="L52" s="103">
        <f>-L49-L51</f>
        <v>0</v>
      </c>
      <c r="M52" s="103"/>
      <c r="N52" s="103">
        <f>-N49-N51</f>
        <v>0</v>
      </c>
      <c r="O52" s="103"/>
      <c r="P52" s="103">
        <f>-SUM(P49:P51)</f>
        <v>-3991397.87</v>
      </c>
      <c r="Q52" s="103">
        <f>-SUM(Q49:Q51)</f>
        <v>0</v>
      </c>
      <c r="R52" s="103">
        <f>-SUM(R49:R51)</f>
        <v>0</v>
      </c>
      <c r="S52" s="103">
        <f>-SUM(S49:S51)</f>
        <v>0</v>
      </c>
      <c r="T52" s="103"/>
      <c r="U52" s="103"/>
      <c r="V52" s="103"/>
      <c r="W52" s="103"/>
      <c r="X52" s="103">
        <f>-SUM(X49:X51)</f>
        <v>-4129662.0100000002</v>
      </c>
    </row>
    <row r="53" spans="1:26" ht="15.75" thickBot="1">
      <c r="A53" s="89"/>
      <c r="B53" s="89"/>
      <c r="C53" s="89"/>
      <c r="D53" s="89"/>
      <c r="E53" s="98"/>
      <c r="F53" s="207">
        <f>+F16+F46-F52</f>
        <v>14047614.300000001</v>
      </c>
      <c r="G53" s="207">
        <f>+G16+G46-G52</f>
        <v>0</v>
      </c>
      <c r="H53" s="207">
        <f>+H16+H46+H52</f>
        <v>-724155.2000000003</v>
      </c>
      <c r="I53" s="207">
        <f>+I16+I46+I52</f>
        <v>0</v>
      </c>
      <c r="J53" s="207">
        <f>+J16+J46+J52</f>
        <v>1148146.7200000002</v>
      </c>
      <c r="K53" s="207">
        <f>+K16+K46-K52</f>
        <v>0</v>
      </c>
      <c r="L53" s="207">
        <f>+L16+L46-L52</f>
        <v>564908.91</v>
      </c>
      <c r="M53" s="207">
        <f>+M16+M46-M52</f>
        <v>0</v>
      </c>
      <c r="N53" s="207">
        <f>+N16+N46-N52</f>
        <v>146957.37000000002</v>
      </c>
      <c r="O53" s="207">
        <f>+O16+O46-O52</f>
        <v>0</v>
      </c>
      <c r="P53" s="207">
        <f>+P16+P46+P52</f>
        <v>-415876.29999999888</v>
      </c>
      <c r="Q53" s="207">
        <f>+Q16+Q46+Q52</f>
        <v>0</v>
      </c>
      <c r="R53" s="207">
        <f>+R16+R46+R52</f>
        <v>-78610.679999999702</v>
      </c>
      <c r="S53" s="207">
        <f>+S16+S46+S52</f>
        <v>0</v>
      </c>
      <c r="T53" s="103"/>
      <c r="U53" s="103"/>
      <c r="V53" s="103"/>
      <c r="W53" s="103"/>
      <c r="X53" s="366">
        <f>+X16+X46+X52</f>
        <v>13825985.339999998</v>
      </c>
      <c r="Y53" s="367" t="s">
        <v>262</v>
      </c>
    </row>
    <row r="54" spans="1:26">
      <c r="A54" s="89"/>
      <c r="B54" s="89"/>
      <c r="C54" s="89"/>
      <c r="D54" s="89"/>
      <c r="E54" s="98"/>
      <c r="F54" s="103"/>
      <c r="G54" s="103"/>
      <c r="H54" s="103"/>
      <c r="I54" s="103"/>
      <c r="J54" s="103"/>
      <c r="K54" s="103"/>
      <c r="L54" s="103"/>
      <c r="M54" s="103"/>
      <c r="N54" s="103"/>
      <c r="O54" s="103"/>
      <c r="P54" s="103"/>
      <c r="Q54" s="103"/>
      <c r="R54" s="103"/>
      <c r="S54" s="103"/>
      <c r="T54" s="103"/>
      <c r="U54" s="103"/>
      <c r="V54" s="103"/>
      <c r="W54" s="101"/>
      <c r="X54" s="101"/>
      <c r="Y54" s="151"/>
    </row>
    <row r="55" spans="1:26">
      <c r="A55" s="89"/>
      <c r="B55" s="90" t="s">
        <v>140</v>
      </c>
      <c r="C55" s="89"/>
      <c r="D55" s="89"/>
      <c r="E55" s="89"/>
      <c r="F55" s="103"/>
      <c r="G55" s="103"/>
      <c r="H55" s="103"/>
      <c r="I55" s="103"/>
      <c r="J55" s="103"/>
      <c r="K55" s="103"/>
      <c r="L55" s="103"/>
      <c r="M55" s="101"/>
      <c r="N55" s="101"/>
      <c r="O55" s="101"/>
      <c r="P55" s="101"/>
      <c r="Q55" s="101"/>
      <c r="R55" s="101"/>
      <c r="S55" s="101"/>
      <c r="T55" s="101"/>
      <c r="U55" s="101"/>
      <c r="V55" s="101"/>
      <c r="W55" s="101"/>
      <c r="X55" s="101"/>
      <c r="Y55" s="151"/>
    </row>
    <row r="56" spans="1:26">
      <c r="A56" s="89"/>
      <c r="B56" s="89" t="s">
        <v>21</v>
      </c>
      <c r="C56" s="89"/>
      <c r="D56" s="89"/>
      <c r="E56" s="89"/>
      <c r="F56" s="103">
        <v>11855580</v>
      </c>
      <c r="G56" s="103"/>
      <c r="H56" s="103">
        <v>250000</v>
      </c>
      <c r="I56" s="103"/>
      <c r="J56" s="103">
        <v>25000</v>
      </c>
      <c r="K56" s="103"/>
      <c r="L56" s="103">
        <v>500000</v>
      </c>
      <c r="M56" s="101"/>
      <c r="N56" s="101">
        <v>25000</v>
      </c>
      <c r="O56" s="101"/>
      <c r="P56" s="101">
        <v>500000</v>
      </c>
      <c r="Q56" s="101"/>
      <c r="R56" s="101">
        <v>130000</v>
      </c>
      <c r="S56" s="101"/>
      <c r="T56" s="103">
        <f>SUM(H56:R56)</f>
        <v>1430000</v>
      </c>
      <c r="U56" s="103"/>
      <c r="V56" s="293"/>
      <c r="W56" s="103"/>
      <c r="X56" s="101">
        <f>SUM(F56:S56)-T56+V56</f>
        <v>11855580</v>
      </c>
      <c r="Y56" s="151"/>
    </row>
    <row r="57" spans="1:26">
      <c r="A57" s="89"/>
      <c r="B57" s="89" t="s">
        <v>141</v>
      </c>
      <c r="C57" s="89"/>
      <c r="D57" s="89"/>
      <c r="E57" s="89"/>
      <c r="F57" s="103"/>
      <c r="G57" s="103"/>
      <c r="H57" s="103"/>
      <c r="I57" s="103"/>
      <c r="J57" s="103"/>
      <c r="K57" s="103"/>
      <c r="L57" s="103"/>
      <c r="M57" s="103"/>
      <c r="N57" s="103"/>
      <c r="O57" s="103"/>
      <c r="P57" s="103"/>
      <c r="Q57" s="103"/>
      <c r="R57" s="103"/>
      <c r="S57" s="103"/>
      <c r="T57" s="103"/>
      <c r="U57" s="103"/>
      <c r="V57" s="103"/>
      <c r="W57" s="103"/>
      <c r="X57" s="101">
        <f>SUM(F57:S57)-T57+V57</f>
        <v>0</v>
      </c>
      <c r="Y57" s="151"/>
    </row>
    <row r="58" spans="1:26">
      <c r="A58" s="89"/>
      <c r="B58" s="89" t="s">
        <v>142</v>
      </c>
      <c r="C58" s="89"/>
      <c r="D58" s="89"/>
      <c r="E58" s="89"/>
      <c r="F58" s="103">
        <v>8186986.79</v>
      </c>
      <c r="G58" s="103"/>
      <c r="H58" s="103"/>
      <c r="I58" s="103"/>
      <c r="J58" s="103"/>
      <c r="K58" s="103"/>
      <c r="L58" s="103"/>
      <c r="M58" s="101"/>
      <c r="N58" s="101"/>
      <c r="O58" s="101"/>
      <c r="P58" s="101"/>
      <c r="Q58" s="101"/>
      <c r="R58" s="101"/>
      <c r="S58" s="101"/>
      <c r="T58" s="103">
        <v>0</v>
      </c>
      <c r="U58" s="103"/>
      <c r="V58" s="103"/>
      <c r="W58" s="103"/>
      <c r="X58" s="101">
        <f>SUM(F58:S58)-T58+V58</f>
        <v>8186986.79</v>
      </c>
      <c r="Y58" s="151"/>
    </row>
    <row r="59" spans="1:26">
      <c r="A59" s="89"/>
      <c r="B59" s="107" t="s">
        <v>143</v>
      </c>
      <c r="C59" s="89"/>
      <c r="D59" s="89"/>
      <c r="E59" s="89"/>
      <c r="F59" s="209">
        <f>-5646685.74</f>
        <v>-5646685.7400000002</v>
      </c>
      <c r="G59" s="209"/>
      <c r="H59" s="209">
        <v>-209001.89</v>
      </c>
      <c r="I59" s="209"/>
      <c r="J59" s="209">
        <f>1121567.56-7+2057.93</f>
        <v>1123618.49</v>
      </c>
      <c r="K59" s="209"/>
      <c r="L59" s="209">
        <v>144262.64000000001</v>
      </c>
      <c r="M59" s="364"/>
      <c r="N59" s="364">
        <v>7670.54</v>
      </c>
      <c r="O59" s="364"/>
      <c r="P59" s="364">
        <v>-3045439.01</v>
      </c>
      <c r="Q59" s="364"/>
      <c r="R59" s="364">
        <f>-158653.03+-3552.2</f>
        <v>-162205.23000000001</v>
      </c>
      <c r="S59" s="101"/>
      <c r="T59" s="103">
        <f>5355408+103000</f>
        <v>5458408</v>
      </c>
      <c r="U59" s="98"/>
      <c r="V59" s="110">
        <f>4120304+1905104</f>
        <v>6025408</v>
      </c>
      <c r="W59" s="103"/>
      <c r="X59" s="121">
        <f>SUM(F59:S59)-T59+V59</f>
        <v>-7220780.1999999993</v>
      </c>
      <c r="Y59" s="296">
        <v>-3603397.459999999</v>
      </c>
      <c r="Z59" s="254"/>
    </row>
    <row r="60" spans="1:26">
      <c r="A60" s="89"/>
      <c r="B60" s="89" t="s">
        <v>295</v>
      </c>
      <c r="C60" s="89"/>
      <c r="D60" s="89"/>
      <c r="E60" s="89"/>
      <c r="F60" s="209">
        <f>F70</f>
        <v>-348267.38</v>
      </c>
      <c r="G60" s="103">
        <f>SUM(G66:G67)</f>
        <v>0</v>
      </c>
      <c r="H60" s="209">
        <f>H70</f>
        <v>-765153.31</v>
      </c>
      <c r="I60" s="103">
        <f>SUM(I66:I67)</f>
        <v>0</v>
      </c>
      <c r="J60" s="209">
        <f>J70</f>
        <v>-470.91999999999996</v>
      </c>
      <c r="K60" s="103">
        <f>SUM(K66:K67)</f>
        <v>0</v>
      </c>
      <c r="L60" s="209">
        <f>L70</f>
        <v>-79353.73000000001</v>
      </c>
      <c r="M60" s="103">
        <f>SUM(M66:M67)</f>
        <v>0</v>
      </c>
      <c r="N60" s="209">
        <f>N70</f>
        <v>114287.03000000001</v>
      </c>
      <c r="O60" s="103">
        <f>SUM(O66:O67)</f>
        <v>0</v>
      </c>
      <c r="P60" s="209">
        <f>P70</f>
        <v>-424369.48</v>
      </c>
      <c r="Q60" s="103">
        <f>SUM(Q66:Q67)</f>
        <v>0</v>
      </c>
      <c r="R60" s="209">
        <f>R70</f>
        <v>-46405.449999999953</v>
      </c>
      <c r="S60" s="209">
        <f>SUM(S66:S69)</f>
        <v>0</v>
      </c>
      <c r="T60" s="225"/>
      <c r="U60" s="98"/>
      <c r="V60" s="225"/>
      <c r="W60" s="103"/>
      <c r="X60" s="314">
        <f>SUM(F60:S60)-T60-T61+V60+V61</f>
        <v>-1549733.2399999998</v>
      </c>
      <c r="Y60" s="295">
        <f>-X59+Y6</f>
        <v>7220780.1999999993</v>
      </c>
    </row>
    <row r="61" spans="1:26">
      <c r="A61" s="89"/>
      <c r="B61" s="89" t="s">
        <v>264</v>
      </c>
      <c r="C61" s="89"/>
      <c r="D61" s="89"/>
      <c r="E61" s="89"/>
      <c r="F61" s="209"/>
      <c r="G61" s="103"/>
      <c r="H61" s="209"/>
      <c r="I61" s="209"/>
      <c r="J61" s="209"/>
      <c r="K61" s="209"/>
      <c r="L61" s="209"/>
      <c r="M61" s="209"/>
      <c r="N61" s="209"/>
      <c r="O61" s="209"/>
      <c r="P61" s="209"/>
      <c r="Q61" s="209"/>
      <c r="R61" s="209"/>
      <c r="S61" s="209"/>
      <c r="T61" s="297"/>
      <c r="U61" s="98"/>
      <c r="V61" s="225"/>
      <c r="W61" s="103"/>
      <c r="X61" s="121"/>
      <c r="Y61" s="295">
        <f>X59+-7220780.04</f>
        <v>-14441560.239999998</v>
      </c>
    </row>
    <row r="62" spans="1:26">
      <c r="A62" s="87"/>
      <c r="B62" s="87" t="s">
        <v>260</v>
      </c>
      <c r="C62" s="87"/>
      <c r="D62" s="87"/>
      <c r="E62" s="87"/>
      <c r="F62" s="102"/>
      <c r="G62" s="103"/>
      <c r="H62" s="102"/>
      <c r="I62" s="103"/>
      <c r="J62" s="102"/>
      <c r="K62" s="103"/>
      <c r="L62" s="102"/>
      <c r="M62" s="101"/>
      <c r="N62" s="102"/>
      <c r="O62" s="101"/>
      <c r="P62" s="102">
        <v>2553931.7799999998</v>
      </c>
      <c r="Q62" s="101"/>
      <c r="R62" s="102"/>
      <c r="S62" s="103"/>
      <c r="T62" s="104"/>
      <c r="U62" s="104"/>
      <c r="V62" s="104"/>
      <c r="W62" s="104"/>
      <c r="X62" s="55">
        <f>SUM(F62:S62)-T62+V62</f>
        <v>2553931.7799999998</v>
      </c>
      <c r="Y62" s="151"/>
    </row>
    <row r="63" spans="1:26" ht="15.75" thickBot="1">
      <c r="A63" s="87"/>
      <c r="B63" s="86" t="s">
        <v>144</v>
      </c>
      <c r="C63" s="87"/>
      <c r="D63" s="87"/>
      <c r="E63" s="87"/>
      <c r="F63" s="207">
        <f>SUM(F56:F62)</f>
        <v>14047613.669999998</v>
      </c>
      <c r="G63" s="208"/>
      <c r="H63" s="207">
        <f>SUM(H56:H62)</f>
        <v>-724155.20000000007</v>
      </c>
      <c r="I63" s="208"/>
      <c r="J63" s="207">
        <f>SUM(J56:J62)</f>
        <v>1148147.57</v>
      </c>
      <c r="K63" s="208"/>
      <c r="L63" s="207">
        <f>SUM(L56:L62)</f>
        <v>564908.91</v>
      </c>
      <c r="M63" s="207"/>
      <c r="N63" s="207">
        <f>SUM(N56:N62)</f>
        <v>146957.57</v>
      </c>
      <c r="O63" s="208"/>
      <c r="P63" s="207">
        <f>SUM(P56:P62)</f>
        <v>-415876.70999999996</v>
      </c>
      <c r="Q63" s="208"/>
      <c r="R63" s="207">
        <f>SUM(R56:R62)</f>
        <v>-78610.679999999964</v>
      </c>
      <c r="S63" s="207">
        <f>SUM(S56:S62)</f>
        <v>0</v>
      </c>
      <c r="T63" s="111">
        <f>SUM(T10:T62)</f>
        <v>22611159.670000002</v>
      </c>
      <c r="U63" s="104"/>
      <c r="V63" s="111">
        <f>SUM(V10:V62)</f>
        <v>22611159.450000003</v>
      </c>
      <c r="W63" s="104"/>
      <c r="X63" s="366">
        <f>SUM(X56:X62)</f>
        <v>13825985.129999999</v>
      </c>
      <c r="Y63" s="367" t="s">
        <v>263</v>
      </c>
      <c r="Z63" s="158">
        <f>T63-V63</f>
        <v>0.2199999988079071</v>
      </c>
    </row>
    <row r="64" spans="1:26">
      <c r="A64" s="87"/>
      <c r="B64" s="87"/>
      <c r="C64" s="87"/>
      <c r="D64" s="87"/>
      <c r="E64" s="87"/>
      <c r="F64" s="205">
        <f>+F53-F63</f>
        <v>0.63000000268220901</v>
      </c>
      <c r="G64" s="205"/>
      <c r="H64" s="205">
        <f>+H53-H63</f>
        <v>0</v>
      </c>
      <c r="I64" s="205"/>
      <c r="J64" s="205">
        <f>+J53-J63</f>
        <v>-0.84999999986030161</v>
      </c>
      <c r="K64" s="205"/>
      <c r="L64" s="205">
        <f>+L53-L63</f>
        <v>0</v>
      </c>
      <c r="M64" s="206"/>
      <c r="N64" s="205">
        <f>+N53-N63</f>
        <v>-0.1999999999825377</v>
      </c>
      <c r="O64" s="206"/>
      <c r="P64" s="205">
        <f>+P53-P63</f>
        <v>0.41000000108033419</v>
      </c>
      <c r="Q64" s="205">
        <f>+Q53-Q63</f>
        <v>0</v>
      </c>
      <c r="R64" s="205">
        <f>+R53-R63</f>
        <v>2.6193447411060333E-10</v>
      </c>
      <c r="S64" s="205">
        <f>+S53-S63</f>
        <v>0</v>
      </c>
      <c r="T64" s="104"/>
      <c r="U64" s="104">
        <f>+U53-U63</f>
        <v>0</v>
      </c>
      <c r="V64" s="104"/>
      <c r="W64" s="104">
        <f>+W53-W63</f>
        <v>0</v>
      </c>
      <c r="X64" s="104">
        <f>X53-X63</f>
        <v>0.20999999903142452</v>
      </c>
    </row>
    <row r="65" spans="1:26" ht="15.75" thickBot="1">
      <c r="A65" s="87"/>
      <c r="B65" s="87"/>
      <c r="C65" s="87"/>
      <c r="D65" s="87"/>
      <c r="E65" s="87"/>
      <c r="F65" s="205"/>
      <c r="G65" s="205"/>
      <c r="H65" s="205"/>
      <c r="I65" s="205"/>
      <c r="J65" s="205"/>
      <c r="K65" s="205"/>
      <c r="L65" s="205"/>
      <c r="M65" s="206"/>
      <c r="N65" s="205"/>
      <c r="O65" s="206"/>
      <c r="P65" s="205"/>
      <c r="Q65" s="205"/>
      <c r="R65" s="205"/>
      <c r="S65" s="205"/>
      <c r="T65" s="104"/>
      <c r="U65" s="104"/>
      <c r="V65" s="104"/>
      <c r="W65" s="104"/>
      <c r="X65" s="104"/>
    </row>
    <row r="66" spans="1:26">
      <c r="A66" s="87"/>
      <c r="B66" s="344" t="s">
        <v>289</v>
      </c>
      <c r="C66" s="345" t="s">
        <v>251</v>
      </c>
      <c r="D66" s="345"/>
      <c r="E66" s="345"/>
      <c r="F66" s="346">
        <v>-292205.55</v>
      </c>
      <c r="G66" s="346"/>
      <c r="H66" s="346">
        <v>-621947.43000000005</v>
      </c>
      <c r="I66" s="346"/>
      <c r="J66" s="346">
        <v>571.38</v>
      </c>
      <c r="K66" s="346"/>
      <c r="L66" s="346">
        <v>-25267.279999999999</v>
      </c>
      <c r="M66" s="346"/>
      <c r="N66" s="346">
        <v>154344.57</v>
      </c>
      <c r="O66" s="346"/>
      <c r="P66" s="346">
        <v>-202379.16</v>
      </c>
      <c r="Q66" s="346"/>
      <c r="R66" s="346">
        <v>-391</v>
      </c>
      <c r="S66" s="346"/>
      <c r="T66" s="347"/>
      <c r="U66" s="348"/>
      <c r="V66" s="349"/>
      <c r="W66" s="348"/>
      <c r="X66" s="350">
        <f>SUM(F66:S66)-T66+V66</f>
        <v>-987274.47000000009</v>
      </c>
      <c r="Y66" s="168"/>
      <c r="Z66" s="168"/>
    </row>
    <row r="67" spans="1:26">
      <c r="A67" s="87"/>
      <c r="B67" s="351" t="s">
        <v>290</v>
      </c>
      <c r="C67" s="352" t="str">
        <f>C66</f>
        <v>Profit/(Loss) for current quarter</v>
      </c>
      <c r="D67" s="330"/>
      <c r="E67" s="330"/>
      <c r="F67" s="175">
        <f ca="1">'Detailed PL'!B95</f>
        <v>-56061.830000000009</v>
      </c>
      <c r="G67" s="175"/>
      <c r="H67" s="176">
        <f ca="1">'Detailed PL'!C95</f>
        <v>-143205.88</v>
      </c>
      <c r="I67" s="176"/>
      <c r="J67" s="169">
        <f ca="1">'Detailed PL'!G95</f>
        <v>-1042.3</v>
      </c>
      <c r="K67" s="175"/>
      <c r="L67" s="176">
        <f ca="1">'Detailed PL'!D95</f>
        <v>-54086.450000000012</v>
      </c>
      <c r="M67" s="175"/>
      <c r="N67" s="175">
        <f ca="1">'Detailed PL'!E95</f>
        <v>-40057.539999999994</v>
      </c>
      <c r="O67" s="175"/>
      <c r="P67" s="175">
        <f ca="1">'Detailed PL'!F95</f>
        <v>-221990.31999999998</v>
      </c>
      <c r="Q67" s="175"/>
      <c r="R67" s="176">
        <f ca="1">'Detailed PL'!H95</f>
        <v>-46014.449999999953</v>
      </c>
      <c r="S67" s="176"/>
      <c r="T67" s="174"/>
      <c r="U67" s="173"/>
      <c r="V67" s="173"/>
      <c r="W67" s="173"/>
      <c r="X67" s="353">
        <f>SUM(F67:S67)-T67+V67</f>
        <v>-562458.7699999999</v>
      </c>
      <c r="Y67" s="168"/>
      <c r="Z67" s="168"/>
    </row>
    <row r="68" spans="1:26">
      <c r="A68" s="87"/>
      <c r="B68" s="351" t="s">
        <v>291</v>
      </c>
      <c r="C68" s="352" t="str">
        <f>C67</f>
        <v>Profit/(Loss) for current quarter</v>
      </c>
      <c r="D68" s="330"/>
      <c r="E68" s="330"/>
      <c r="F68" s="175">
        <v>0</v>
      </c>
      <c r="G68" s="172"/>
      <c r="H68" s="215">
        <v>0</v>
      </c>
      <c r="I68" s="175"/>
      <c r="J68" s="175">
        <v>0</v>
      </c>
      <c r="K68" s="175"/>
      <c r="L68" s="175">
        <v>0</v>
      </c>
      <c r="M68" s="175"/>
      <c r="N68" s="175">
        <v>0</v>
      </c>
      <c r="O68" s="175"/>
      <c r="P68" s="215">
        <v>0</v>
      </c>
      <c r="Q68" s="175"/>
      <c r="R68" s="175">
        <v>0</v>
      </c>
      <c r="S68" s="175"/>
      <c r="T68" s="174"/>
      <c r="U68" s="173"/>
      <c r="V68" s="173"/>
      <c r="W68" s="173"/>
      <c r="X68" s="353">
        <f>SUM(F68:S68)-T68+V68</f>
        <v>0</v>
      </c>
    </row>
    <row r="69" spans="1:26" s="246" customFormat="1">
      <c r="A69" s="242"/>
      <c r="B69" s="354" t="s">
        <v>292</v>
      </c>
      <c r="C69" s="355" t="str">
        <f>C68</f>
        <v>Profit/(Loss) for current quarter</v>
      </c>
      <c r="D69" s="356"/>
      <c r="E69" s="356"/>
      <c r="F69" s="244">
        <v>0</v>
      </c>
      <c r="G69" s="244"/>
      <c r="H69" s="244">
        <v>0</v>
      </c>
      <c r="I69" s="244"/>
      <c r="J69" s="244">
        <v>0</v>
      </c>
      <c r="K69" s="244"/>
      <c r="L69" s="244">
        <v>0</v>
      </c>
      <c r="M69" s="244"/>
      <c r="N69" s="244">
        <v>0</v>
      </c>
      <c r="O69" s="244"/>
      <c r="P69" s="292">
        <v>0</v>
      </c>
      <c r="Q69" s="292"/>
      <c r="R69" s="292">
        <v>0</v>
      </c>
      <c r="S69" s="292"/>
      <c r="T69" s="245"/>
      <c r="U69" s="245"/>
      <c r="V69" s="245"/>
      <c r="W69" s="245"/>
      <c r="X69" s="353">
        <f>SUM(F69:S69)</f>
        <v>0</v>
      </c>
      <c r="Y69" s="257" t="e">
        <f>#REF!</f>
        <v>#REF!</v>
      </c>
    </row>
    <row r="70" spans="1:26" ht="15.75" thickBot="1">
      <c r="A70" s="87"/>
      <c r="B70" s="351"/>
      <c r="C70" s="330"/>
      <c r="D70" s="330"/>
      <c r="E70" s="330"/>
      <c r="F70" s="178">
        <f>SUM(F66:F69)</f>
        <v>-348267.38</v>
      </c>
      <c r="G70" s="178"/>
      <c r="H70" s="178">
        <f t="shared" ref="H70:R70" si="6">SUM(H66:H69)</f>
        <v>-765153.31</v>
      </c>
      <c r="I70" s="178"/>
      <c r="J70" s="178">
        <f t="shared" si="6"/>
        <v>-470.91999999999996</v>
      </c>
      <c r="K70" s="178"/>
      <c r="L70" s="178">
        <f t="shared" si="6"/>
        <v>-79353.73000000001</v>
      </c>
      <c r="M70" s="178"/>
      <c r="N70" s="178">
        <f t="shared" si="6"/>
        <v>114287.03000000001</v>
      </c>
      <c r="O70" s="178"/>
      <c r="P70" s="178">
        <f t="shared" si="6"/>
        <v>-424369.48</v>
      </c>
      <c r="Q70" s="178"/>
      <c r="R70" s="178">
        <f t="shared" si="6"/>
        <v>-46405.449999999953</v>
      </c>
      <c r="S70" s="178"/>
      <c r="T70" s="178">
        <f>SUM(T66:T69)</f>
        <v>0</v>
      </c>
      <c r="U70" s="177"/>
      <c r="V70" s="177"/>
      <c r="W70" s="177"/>
      <c r="X70" s="357">
        <f>SUM(X66:X69)</f>
        <v>-1549733.24</v>
      </c>
      <c r="Y70" s="226" t="e">
        <f>Y69-X69</f>
        <v>#REF!</v>
      </c>
      <c r="Z70" s="169"/>
    </row>
    <row r="71" spans="1:26" ht="15.75" thickTop="1">
      <c r="A71" s="87"/>
      <c r="B71" s="351"/>
      <c r="C71" s="330"/>
      <c r="D71" s="330"/>
      <c r="E71" s="330"/>
      <c r="F71" s="172"/>
      <c r="G71" s="172"/>
      <c r="H71" s="172"/>
      <c r="I71" s="172"/>
      <c r="J71" s="172"/>
      <c r="K71" s="172"/>
      <c r="L71" s="172"/>
      <c r="M71" s="172"/>
      <c r="N71" s="172"/>
      <c r="O71" s="172"/>
      <c r="P71" s="172"/>
      <c r="Q71" s="172"/>
      <c r="R71" s="172"/>
      <c r="S71" s="172"/>
      <c r="T71" s="173"/>
      <c r="U71" s="173"/>
      <c r="V71" s="173"/>
      <c r="W71" s="173"/>
      <c r="X71" s="358"/>
    </row>
    <row r="72" spans="1:26" ht="18.75" customHeight="1" thickBot="1">
      <c r="A72" s="87"/>
      <c r="B72" s="359"/>
      <c r="C72" s="360"/>
      <c r="D72" s="360"/>
      <c r="E72" s="360"/>
      <c r="F72" s="361">
        <f>SUM(F66:F69)-SUM(F60)</f>
        <v>0</v>
      </c>
      <c r="G72" s="361">
        <f t="shared" ref="G72:S72" si="7">SUM(G66:G69)-SUM(G60)</f>
        <v>0</v>
      </c>
      <c r="H72" s="361">
        <f>SUM(H66:H69)-SUM(H60)</f>
        <v>0</v>
      </c>
      <c r="I72" s="361">
        <f t="shared" si="7"/>
        <v>0</v>
      </c>
      <c r="J72" s="361">
        <f t="shared" si="7"/>
        <v>0</v>
      </c>
      <c r="K72" s="361">
        <f t="shared" si="7"/>
        <v>0</v>
      </c>
      <c r="L72" s="361">
        <f t="shared" si="7"/>
        <v>0</v>
      </c>
      <c r="M72" s="361">
        <f t="shared" si="7"/>
        <v>0</v>
      </c>
      <c r="N72" s="361">
        <f t="shared" si="7"/>
        <v>0</v>
      </c>
      <c r="O72" s="361">
        <f t="shared" si="7"/>
        <v>0</v>
      </c>
      <c r="P72" s="361">
        <f t="shared" si="7"/>
        <v>0</v>
      </c>
      <c r="Q72" s="361">
        <f t="shared" si="7"/>
        <v>0</v>
      </c>
      <c r="R72" s="361">
        <f>SUM(R66:R69)-SUM(R60)</f>
        <v>0</v>
      </c>
      <c r="S72" s="361">
        <f t="shared" si="7"/>
        <v>0</v>
      </c>
      <c r="T72" s="362"/>
      <c r="U72" s="362"/>
      <c r="V72" s="362"/>
      <c r="W72" s="362"/>
      <c r="X72" s="363">
        <f>X60+-X70</f>
        <v>0</v>
      </c>
    </row>
    <row r="73" spans="1:26" ht="18.75" customHeight="1">
      <c r="A73" s="87"/>
      <c r="B73" s="87"/>
      <c r="C73" s="87"/>
      <c r="D73" s="87"/>
      <c r="E73" s="87"/>
      <c r="F73" s="329"/>
      <c r="G73" s="329"/>
      <c r="H73" s="329"/>
      <c r="I73" s="329"/>
      <c r="J73" s="329"/>
      <c r="K73" s="329"/>
      <c r="L73" s="329"/>
      <c r="M73" s="329"/>
      <c r="N73" s="329"/>
      <c r="O73" s="329"/>
      <c r="P73" s="329"/>
      <c r="Q73" s="329"/>
      <c r="R73" s="329"/>
      <c r="S73" s="329"/>
      <c r="T73" s="104"/>
      <c r="U73" s="104"/>
      <c r="V73" s="104"/>
      <c r="W73" s="104"/>
      <c r="X73" s="104"/>
    </row>
    <row r="74" spans="1:26" ht="18.75" customHeight="1">
      <c r="A74" s="87"/>
      <c r="B74" s="87"/>
      <c r="C74" s="87"/>
      <c r="D74" s="87"/>
      <c r="E74" s="87"/>
      <c r="F74" s="329"/>
      <c r="G74" s="329"/>
      <c r="H74" s="329"/>
      <c r="I74" s="329"/>
      <c r="J74" s="329"/>
      <c r="K74" s="329"/>
      <c r="L74" s="329"/>
      <c r="M74" s="329"/>
      <c r="N74" s="329"/>
      <c r="O74" s="329"/>
      <c r="P74" s="329"/>
      <c r="Q74" s="329"/>
      <c r="R74" s="329"/>
      <c r="S74" s="329"/>
      <c r="T74" s="104"/>
      <c r="U74" s="104"/>
      <c r="V74" s="104"/>
      <c r="W74" s="104"/>
      <c r="X74" s="343"/>
    </row>
    <row r="75" spans="1:26" ht="18.75" customHeight="1">
      <c r="A75" s="87"/>
      <c r="B75" s="87"/>
      <c r="C75" s="87"/>
      <c r="D75" s="87"/>
      <c r="E75" s="87"/>
      <c r="F75" s="329"/>
      <c r="G75" s="329"/>
      <c r="H75" s="329"/>
      <c r="I75" s="329"/>
      <c r="J75" s="329"/>
      <c r="K75" s="329"/>
      <c r="L75" s="329"/>
      <c r="M75" s="329"/>
      <c r="N75" s="329"/>
      <c r="O75" s="329"/>
      <c r="P75" s="329"/>
      <c r="Q75" s="329"/>
      <c r="R75" s="329"/>
      <c r="S75" s="329"/>
      <c r="T75" s="104"/>
      <c r="U75" s="104"/>
      <c r="V75" s="104"/>
      <c r="W75" s="104"/>
      <c r="X75" s="343"/>
    </row>
    <row r="76" spans="1:26" ht="18.75" customHeight="1">
      <c r="A76" s="87"/>
      <c r="B76" s="87"/>
      <c r="C76" s="87"/>
      <c r="D76" s="87"/>
      <c r="E76" s="87"/>
      <c r="F76" s="329"/>
      <c r="G76" s="329"/>
      <c r="H76" s="329"/>
      <c r="I76" s="329"/>
      <c r="J76" s="329"/>
      <c r="K76" s="329"/>
      <c r="L76" s="329"/>
      <c r="M76" s="329"/>
      <c r="N76" s="329"/>
      <c r="O76" s="329"/>
      <c r="P76" s="329"/>
      <c r="Q76" s="329"/>
      <c r="R76" s="329"/>
      <c r="S76" s="329"/>
      <c r="T76" s="104"/>
      <c r="U76" s="104"/>
      <c r="V76" s="104"/>
      <c r="W76" s="104"/>
      <c r="X76" s="343"/>
    </row>
    <row r="77" spans="1:26">
      <c r="A77" s="87"/>
      <c r="B77" s="332"/>
      <c r="C77" s="247"/>
      <c r="D77" s="247"/>
      <c r="E77" s="247"/>
      <c r="F77" s="221" t="s">
        <v>91</v>
      </c>
      <c r="G77" s="323"/>
      <c r="H77" s="603" t="s">
        <v>92</v>
      </c>
      <c r="I77" s="604"/>
      <c r="J77" s="604"/>
      <c r="K77" s="604"/>
      <c r="L77" s="604"/>
      <c r="M77" s="604"/>
      <c r="N77" s="604"/>
      <c r="O77" s="604"/>
      <c r="P77" s="604"/>
      <c r="Q77" s="604"/>
      <c r="R77" s="220"/>
      <c r="S77" s="220"/>
      <c r="T77" s="247"/>
      <c r="U77" s="247"/>
      <c r="V77" s="247"/>
      <c r="W77" s="247"/>
      <c r="X77" s="248" t="s">
        <v>265</v>
      </c>
    </row>
    <row r="78" spans="1:26">
      <c r="A78" s="87"/>
      <c r="B78" s="324"/>
      <c r="C78" s="97"/>
      <c r="D78" s="97"/>
      <c r="E78" s="97"/>
      <c r="F78" s="222"/>
      <c r="G78" s="98"/>
      <c r="H78" s="326"/>
      <c r="I78" s="98"/>
      <c r="J78" s="96" t="s">
        <v>93</v>
      </c>
      <c r="K78" s="98"/>
      <c r="L78" s="98"/>
      <c r="M78" s="98"/>
      <c r="N78" s="98"/>
      <c r="O78" s="96"/>
      <c r="P78" s="98"/>
      <c r="Q78" s="98"/>
      <c r="R78" s="98"/>
      <c r="S78" s="98"/>
      <c r="T78" s="605" t="s">
        <v>147</v>
      </c>
      <c r="U78" s="606"/>
      <c r="V78" s="606"/>
      <c r="W78" s="97"/>
      <c r="X78" s="249" t="s">
        <v>94</v>
      </c>
    </row>
    <row r="79" spans="1:26">
      <c r="A79" s="87"/>
      <c r="B79" s="324"/>
      <c r="C79" s="97"/>
      <c r="D79" s="97"/>
      <c r="E79" s="97"/>
      <c r="F79" s="223"/>
      <c r="G79" s="98"/>
      <c r="H79" s="414" t="s">
        <v>93</v>
      </c>
      <c r="I79" s="98"/>
      <c r="J79" s="96" t="s">
        <v>95</v>
      </c>
      <c r="K79" s="98"/>
      <c r="L79" s="96"/>
      <c r="M79" s="96"/>
      <c r="N79" s="96" t="s">
        <v>96</v>
      </c>
      <c r="O79" s="96"/>
      <c r="P79" s="96" t="s">
        <v>93</v>
      </c>
      <c r="Q79" s="306"/>
      <c r="R79" s="96" t="s">
        <v>97</v>
      </c>
      <c r="S79" s="96"/>
      <c r="T79" s="606"/>
      <c r="U79" s="606"/>
      <c r="V79" s="606"/>
      <c r="W79" s="98"/>
      <c r="X79" s="250" t="s">
        <v>256</v>
      </c>
    </row>
    <row r="80" spans="1:26">
      <c r="A80" s="87"/>
      <c r="B80" s="324"/>
      <c r="C80" s="97"/>
      <c r="D80" s="97"/>
      <c r="E80" s="97"/>
      <c r="F80" s="223" t="s">
        <v>98</v>
      </c>
      <c r="G80" s="98"/>
      <c r="H80" s="414" t="s">
        <v>99</v>
      </c>
      <c r="I80" s="98"/>
      <c r="J80" s="96" t="s">
        <v>100</v>
      </c>
      <c r="K80" s="98"/>
      <c r="L80" s="96" t="s">
        <v>101</v>
      </c>
      <c r="M80" s="96"/>
      <c r="N80" s="96" t="s">
        <v>102</v>
      </c>
      <c r="O80" s="98"/>
      <c r="P80" s="307" t="s">
        <v>103</v>
      </c>
      <c r="Q80" s="306"/>
      <c r="R80" s="96" t="s">
        <v>104</v>
      </c>
      <c r="S80" s="96"/>
      <c r="T80" s="251" t="s">
        <v>105</v>
      </c>
      <c r="U80" s="251"/>
      <c r="V80" s="251" t="s">
        <v>106</v>
      </c>
      <c r="W80" s="98"/>
      <c r="X80" s="252" t="s">
        <v>107</v>
      </c>
    </row>
    <row r="81" spans="1:25">
      <c r="A81" s="87"/>
      <c r="B81" s="324"/>
      <c r="C81" s="97"/>
      <c r="D81" s="97"/>
      <c r="E81" s="97"/>
      <c r="F81" s="224"/>
      <c r="G81" s="98"/>
      <c r="H81" s="415"/>
      <c r="I81" s="218"/>
      <c r="J81" s="218"/>
      <c r="K81" s="218"/>
      <c r="L81" s="218"/>
      <c r="M81" s="218"/>
      <c r="N81" s="218"/>
      <c r="O81" s="218"/>
      <c r="P81" s="218"/>
      <c r="Q81" s="218"/>
      <c r="R81" s="218"/>
      <c r="S81" s="98"/>
      <c r="T81" s="294" t="s">
        <v>266</v>
      </c>
      <c r="U81" s="294"/>
      <c r="V81" s="294" t="s">
        <v>267</v>
      </c>
      <c r="W81" s="219"/>
      <c r="X81" s="253"/>
    </row>
    <row r="82" spans="1:25">
      <c r="A82" s="87"/>
      <c r="B82" s="324"/>
      <c r="C82" s="97"/>
      <c r="D82" s="97"/>
      <c r="E82" s="97"/>
      <c r="F82" s="335"/>
      <c r="G82" s="98"/>
      <c r="H82" s="98"/>
      <c r="I82" s="98"/>
      <c r="J82" s="335"/>
      <c r="K82" s="98"/>
      <c r="L82" s="98"/>
      <c r="M82" s="98"/>
      <c r="N82" s="335"/>
      <c r="O82" s="98"/>
      <c r="P82" s="98"/>
      <c r="Q82" s="98"/>
      <c r="R82" s="335"/>
      <c r="S82" s="98"/>
      <c r="T82" s="330"/>
      <c r="U82" s="330"/>
      <c r="V82" s="330"/>
      <c r="W82" s="97"/>
      <c r="X82" s="325"/>
    </row>
    <row r="83" spans="1:25">
      <c r="A83" s="89"/>
      <c r="B83" s="326" t="s">
        <v>286</v>
      </c>
      <c r="C83" s="98"/>
      <c r="D83" s="98"/>
      <c r="E83" s="98"/>
      <c r="F83" s="336">
        <f>F60</f>
        <v>-348267.38</v>
      </c>
      <c r="G83" s="103">
        <f>SUM(G89:G90)</f>
        <v>0</v>
      </c>
      <c r="H83" s="209">
        <f>H60</f>
        <v>-765153.31</v>
      </c>
      <c r="I83" s="209">
        <f>SUM(I89:I92)</f>
        <v>0</v>
      </c>
      <c r="J83" s="336">
        <f>J60</f>
        <v>-470.91999999999996</v>
      </c>
      <c r="K83" s="209">
        <f>SUM(K89:K92)</f>
        <v>0</v>
      </c>
      <c r="L83" s="209">
        <f>L60</f>
        <v>-79353.73000000001</v>
      </c>
      <c r="M83" s="209">
        <f>SUM(M89:M92)</f>
        <v>0</v>
      </c>
      <c r="N83" s="336">
        <f>N60</f>
        <v>114287.03000000001</v>
      </c>
      <c r="O83" s="209">
        <f>SUM(O89:O92)</f>
        <v>0</v>
      </c>
      <c r="P83" s="209">
        <f>P60</f>
        <v>-424369.48</v>
      </c>
      <c r="Q83" s="209">
        <f>SUM(Q89:Q92)</f>
        <v>0</v>
      </c>
      <c r="R83" s="336">
        <f>R60</f>
        <v>-46405.449999999953</v>
      </c>
      <c r="S83" s="209">
        <f>SUM(S89:S92)</f>
        <v>0</v>
      </c>
      <c r="T83" s="225">
        <v>103000</v>
      </c>
      <c r="U83" s="98"/>
      <c r="V83" s="225">
        <f>1905104</f>
        <v>1905104</v>
      </c>
      <c r="W83" s="103"/>
      <c r="X83" s="327">
        <f>SUM(F83:S83)-T83-T85+V83+V85</f>
        <v>252370.76000000024</v>
      </c>
      <c r="Y83" s="295">
        <f>-X82+Y82</f>
        <v>0</v>
      </c>
    </row>
    <row r="84" spans="1:25">
      <c r="A84" s="89"/>
      <c r="B84" s="328" t="s">
        <v>288</v>
      </c>
      <c r="C84" s="333"/>
      <c r="D84" s="98"/>
      <c r="E84" s="98"/>
      <c r="F84" s="336"/>
      <c r="G84" s="103"/>
      <c r="H84" s="209">
        <v>16031</v>
      </c>
      <c r="I84" s="209"/>
      <c r="J84" s="336">
        <v>866.4</v>
      </c>
      <c r="K84" s="209"/>
      <c r="L84" s="209">
        <v>1030.9100000000001</v>
      </c>
      <c r="M84" s="209"/>
      <c r="N84" s="336">
        <v>-1000</v>
      </c>
      <c r="O84" s="209"/>
      <c r="P84" s="209">
        <v>-926787.21</v>
      </c>
      <c r="Q84" s="209"/>
      <c r="R84" s="336">
        <v>-42.8</v>
      </c>
      <c r="S84" s="209"/>
      <c r="T84" s="225"/>
      <c r="U84" s="98"/>
      <c r="V84" s="225"/>
      <c r="W84" s="103"/>
      <c r="X84" s="327"/>
      <c r="Y84" s="295"/>
    </row>
    <row r="85" spans="1:25">
      <c r="A85" s="87"/>
      <c r="B85" s="324"/>
      <c r="C85" s="97"/>
      <c r="D85" s="97"/>
      <c r="E85" s="97"/>
      <c r="F85" s="222"/>
      <c r="G85" s="98"/>
      <c r="H85" s="98"/>
      <c r="I85" s="98"/>
      <c r="J85" s="222"/>
      <c r="K85" s="98"/>
      <c r="L85" s="209"/>
      <c r="M85" s="98"/>
      <c r="N85" s="222"/>
      <c r="O85" s="98"/>
      <c r="P85" s="98"/>
      <c r="Q85" s="98"/>
      <c r="R85" s="222"/>
      <c r="S85" s="98"/>
      <c r="T85" s="330"/>
      <c r="U85" s="330"/>
      <c r="V85" s="330"/>
      <c r="W85" s="97"/>
      <c r="X85" s="327">
        <f>SUM(F85:S85)-T85-T87+V85+V87</f>
        <v>0</v>
      </c>
    </row>
    <row r="86" spans="1:25">
      <c r="A86" s="87"/>
      <c r="B86" s="324" t="s">
        <v>287</v>
      </c>
      <c r="C86" s="97"/>
      <c r="D86" s="97"/>
      <c r="E86" s="97"/>
      <c r="F86" s="336">
        <f>F83</f>
        <v>-348267.38</v>
      </c>
      <c r="G86" s="98"/>
      <c r="H86" s="209">
        <v>15556.5</v>
      </c>
      <c r="I86" s="98"/>
      <c r="J86" s="222">
        <v>2050.9299999999998</v>
      </c>
      <c r="K86" s="98"/>
      <c r="L86" s="209">
        <v>14801.28</v>
      </c>
      <c r="M86" s="98"/>
      <c r="N86" s="337">
        <f>SUM(N83:N84)</f>
        <v>113287.03000000001</v>
      </c>
      <c r="O86" s="98"/>
      <c r="P86" s="209">
        <f>-715126.17+-926787.21</f>
        <v>-1641913.38</v>
      </c>
      <c r="Q86" s="98"/>
      <c r="R86" s="337">
        <f>R83+42.8</f>
        <v>-46362.649999999951</v>
      </c>
      <c r="S86" s="98"/>
      <c r="T86" s="331">
        <f>T83</f>
        <v>103000</v>
      </c>
      <c r="U86" s="330"/>
      <c r="V86" s="331">
        <f>V83</f>
        <v>1905104</v>
      </c>
      <c r="W86" s="97"/>
      <c r="X86" s="327">
        <f>SUM(F86:S86)-T86-T88+V86+V88</f>
        <v>-88743.669999999693</v>
      </c>
    </row>
    <row r="87" spans="1:25">
      <c r="A87" s="87"/>
      <c r="B87" s="334"/>
      <c r="C87" s="219"/>
      <c r="D87" s="219"/>
      <c r="E87" s="219"/>
      <c r="F87" s="224"/>
      <c r="G87" s="218"/>
      <c r="H87" s="218"/>
      <c r="I87" s="218"/>
      <c r="J87" s="224"/>
      <c r="K87" s="218"/>
      <c r="L87" s="218"/>
      <c r="M87" s="218"/>
      <c r="N87" s="224"/>
      <c r="O87" s="218"/>
      <c r="P87" s="218"/>
      <c r="Q87" s="218"/>
      <c r="R87" s="224"/>
      <c r="S87" s="218"/>
      <c r="T87" s="294"/>
      <c r="U87" s="294"/>
      <c r="V87" s="294"/>
      <c r="W87" s="219"/>
      <c r="X87" s="253"/>
    </row>
    <row r="88" spans="1:25">
      <c r="A88" s="87"/>
      <c r="B88" s="87"/>
      <c r="C88" s="87"/>
      <c r="D88" s="87"/>
      <c r="E88" s="87"/>
      <c r="F88" s="98"/>
      <c r="G88" s="89"/>
      <c r="H88" s="98"/>
      <c r="I88" s="98"/>
      <c r="J88" s="98"/>
      <c r="K88" s="98"/>
      <c r="L88" s="98"/>
      <c r="M88" s="98"/>
      <c r="N88" s="98"/>
      <c r="O88" s="98"/>
      <c r="P88" s="98"/>
      <c r="Q88" s="98"/>
      <c r="R88" s="98"/>
      <c r="S88" s="98"/>
      <c r="T88" s="330"/>
      <c r="U88" s="330"/>
      <c r="V88" s="330"/>
      <c r="W88" s="97"/>
      <c r="X88" s="104"/>
    </row>
    <row r="89" spans="1:25">
      <c r="A89" s="87"/>
      <c r="B89" s="87"/>
      <c r="C89" s="87"/>
      <c r="D89" s="87"/>
      <c r="E89" s="87"/>
      <c r="F89" s="98"/>
      <c r="G89" s="89"/>
      <c r="H89" s="98"/>
      <c r="I89" s="98"/>
      <c r="J89" s="98"/>
      <c r="K89" s="98"/>
      <c r="L89" s="98"/>
      <c r="M89" s="98"/>
      <c r="N89" s="98"/>
      <c r="O89" s="98"/>
      <c r="P89" s="98"/>
      <c r="Q89" s="98"/>
      <c r="R89" s="98"/>
      <c r="S89" s="98"/>
      <c r="T89" s="330"/>
      <c r="U89" s="330"/>
      <c r="V89" s="330"/>
      <c r="W89" s="97"/>
      <c r="X89" s="104"/>
    </row>
    <row r="90" spans="1:25">
      <c r="A90" s="87"/>
      <c r="B90" s="87"/>
      <c r="C90" s="87"/>
      <c r="D90" s="87"/>
      <c r="E90" s="87"/>
      <c r="F90" s="98"/>
      <c r="G90" s="89"/>
      <c r="H90" s="98"/>
      <c r="I90" s="98"/>
      <c r="J90" s="98"/>
      <c r="K90" s="98"/>
      <c r="L90" s="98"/>
      <c r="M90" s="98"/>
      <c r="N90" s="98"/>
      <c r="O90" s="98"/>
      <c r="P90" s="98"/>
      <c r="Q90" s="98"/>
      <c r="R90" s="98"/>
      <c r="S90" s="98"/>
      <c r="T90" s="330"/>
      <c r="U90" s="330"/>
      <c r="V90" s="330"/>
      <c r="W90" s="97"/>
      <c r="X90" s="104"/>
    </row>
    <row r="91" spans="1:25" ht="17.25" customHeight="1">
      <c r="A91" s="87"/>
      <c r="B91" s="87"/>
      <c r="C91" s="87"/>
      <c r="D91" s="87"/>
      <c r="E91" s="87"/>
      <c r="F91" s="329"/>
      <c r="G91" s="329"/>
      <c r="H91" s="329"/>
      <c r="I91" s="329"/>
      <c r="J91" s="329"/>
      <c r="K91" s="329"/>
      <c r="L91" s="329"/>
      <c r="M91" s="329"/>
      <c r="N91" s="329"/>
      <c r="O91" s="329"/>
      <c r="P91" s="329"/>
      <c r="Q91" s="329"/>
      <c r="R91" s="329"/>
      <c r="S91" s="329"/>
      <c r="T91" s="104"/>
      <c r="U91" s="104"/>
      <c r="V91" s="104"/>
      <c r="W91" s="104"/>
      <c r="X91" s="104"/>
    </row>
    <row r="92" spans="1:25">
      <c r="A92" s="87"/>
      <c r="B92" s="87"/>
      <c r="C92" s="87"/>
      <c r="D92" s="87"/>
      <c r="E92" s="87"/>
      <c r="F92" s="329"/>
      <c r="G92" s="329"/>
      <c r="H92" s="329"/>
      <c r="I92" s="329"/>
      <c r="J92" s="329"/>
      <c r="K92" s="329"/>
      <c r="L92" s="329"/>
      <c r="M92" s="329"/>
      <c r="N92" s="329"/>
      <c r="O92" s="329"/>
      <c r="P92" s="329"/>
      <c r="Q92" s="329"/>
      <c r="R92" s="329"/>
      <c r="S92" s="329"/>
      <c r="T92" s="104"/>
      <c r="U92" s="104"/>
      <c r="V92" s="104"/>
      <c r="W92" s="104"/>
      <c r="X92" s="104"/>
    </row>
    <row r="93" spans="1:25">
      <c r="A93" s="87"/>
      <c r="B93" s="87"/>
      <c r="C93" s="87"/>
      <c r="D93" s="87"/>
      <c r="E93" s="87"/>
      <c r="F93" s="329"/>
      <c r="G93" s="329"/>
      <c r="H93" s="329"/>
      <c r="I93" s="329"/>
      <c r="J93" s="329"/>
      <c r="K93" s="329"/>
      <c r="L93" s="329"/>
      <c r="M93" s="329"/>
      <c r="N93" s="329"/>
      <c r="O93" s="329"/>
      <c r="P93" s="329"/>
      <c r="Q93" s="329"/>
      <c r="R93" s="329"/>
      <c r="S93" s="329"/>
      <c r="T93" s="104"/>
      <c r="U93" s="104"/>
      <c r="V93" s="104"/>
      <c r="W93" s="104"/>
      <c r="X93" s="104"/>
    </row>
    <row r="94" spans="1:25">
      <c r="A94" s="87"/>
      <c r="B94" s="87"/>
      <c r="C94" s="87"/>
      <c r="D94" s="87"/>
      <c r="E94" s="87"/>
      <c r="F94" s="98"/>
      <c r="G94" s="98"/>
      <c r="H94" s="110"/>
      <c r="I94" s="98"/>
      <c r="J94" s="98"/>
      <c r="K94" s="98"/>
      <c r="L94" s="98"/>
      <c r="M94" s="89"/>
      <c r="N94" s="89"/>
      <c r="O94" s="89"/>
      <c r="P94" s="89"/>
      <c r="Q94" s="89"/>
      <c r="R94" s="89"/>
      <c r="S94" s="89"/>
      <c r="T94" s="87"/>
      <c r="U94" s="87"/>
      <c r="V94" s="87"/>
      <c r="W94" s="87"/>
      <c r="X94" s="55"/>
    </row>
    <row r="95" spans="1:25">
      <c r="A95" s="87"/>
      <c r="B95" s="87"/>
      <c r="C95" s="87"/>
      <c r="D95" s="87"/>
      <c r="E95" s="87"/>
      <c r="F95" s="209"/>
      <c r="G95" s="98"/>
      <c r="H95" s="98"/>
      <c r="I95" s="98"/>
      <c r="J95" s="98"/>
      <c r="K95" s="98"/>
      <c r="L95" s="98"/>
      <c r="M95" s="98"/>
      <c r="N95" s="418"/>
      <c r="O95" s="98"/>
      <c r="P95" s="110"/>
      <c r="Q95" s="89"/>
      <c r="R95" s="89"/>
      <c r="S95" s="89"/>
      <c r="T95" s="87"/>
      <c r="U95" s="87"/>
      <c r="V95" s="243" t="s">
        <v>261</v>
      </c>
      <c r="W95" s="87"/>
      <c r="X95" s="298">
        <f>X53-X63</f>
        <v>0.20999999903142452</v>
      </c>
      <c r="Y95" s="169">
        <f>T63-V63</f>
        <v>0.2199999988079071</v>
      </c>
    </row>
    <row r="96" spans="1:25">
      <c r="A96" s="87"/>
      <c r="B96" s="87"/>
      <c r="C96" s="87"/>
      <c r="D96" s="87"/>
      <c r="E96" s="87"/>
      <c r="F96" s="214"/>
      <c r="G96" s="98"/>
      <c r="H96" s="98"/>
      <c r="I96" s="98"/>
      <c r="J96" s="98"/>
      <c r="K96" s="98"/>
      <c r="L96" s="98"/>
      <c r="M96" s="98"/>
      <c r="N96" s="418"/>
      <c r="O96" s="98"/>
      <c r="P96" s="110"/>
      <c r="Q96" s="89"/>
      <c r="R96" s="89"/>
      <c r="S96" s="89"/>
      <c r="T96" s="87"/>
      <c r="U96" s="87"/>
      <c r="V96" s="87"/>
      <c r="W96" s="87"/>
      <c r="X96" s="305">
        <f>X95/2</f>
        <v>0.10499999951571226</v>
      </c>
    </row>
    <row r="97" spans="6:25">
      <c r="F97" s="169"/>
      <c r="L97" s="308" t="s">
        <v>259</v>
      </c>
      <c r="M97" s="308"/>
      <c r="N97" s="419" t="s">
        <v>276</v>
      </c>
      <c r="O97" s="308"/>
      <c r="P97" s="308" t="s">
        <v>258</v>
      </c>
      <c r="R97" s="151" t="s">
        <v>67</v>
      </c>
      <c r="T97" s="299"/>
      <c r="X97" s="254"/>
      <c r="Y97" s="169"/>
    </row>
    <row r="98" spans="6:25">
      <c r="J98" s="151" t="s">
        <v>271</v>
      </c>
      <c r="L98" s="169">
        <v>-80779.02</v>
      </c>
      <c r="N98" s="226">
        <v>-146089.76999999999</v>
      </c>
      <c r="P98" s="169">
        <v>44007.69</v>
      </c>
      <c r="R98" s="169">
        <f>SUM(L98:P98)</f>
        <v>-182861.09999999998</v>
      </c>
      <c r="T98" s="254"/>
      <c r="X98" s="169"/>
    </row>
    <row r="99" spans="6:25">
      <c r="F99" s="169"/>
      <c r="J99" s="151" t="s">
        <v>272</v>
      </c>
      <c r="L99" s="169">
        <v>-148301.81</v>
      </c>
      <c r="N99" s="226">
        <v>-87206.09</v>
      </c>
      <c r="P99" s="169">
        <v>-159236.23000000001</v>
      </c>
      <c r="R99" s="169">
        <f>SUM(L99:P99)</f>
        <v>-394744.13</v>
      </c>
      <c r="T99" s="254"/>
      <c r="X99" s="169"/>
    </row>
    <row r="100" spans="6:25">
      <c r="J100" s="151" t="s">
        <v>273</v>
      </c>
      <c r="L100" s="169">
        <v>-34995.040000000001</v>
      </c>
      <c r="N100" s="226">
        <v>-32947.42</v>
      </c>
      <c r="P100" s="169">
        <v>-44570.2</v>
      </c>
      <c r="R100" s="169">
        <f>SUM(L100:P100)</f>
        <v>-112512.65999999999</v>
      </c>
      <c r="T100" s="254"/>
      <c r="X100" s="169"/>
    </row>
    <row r="101" spans="6:25">
      <c r="J101" s="151" t="s">
        <v>275</v>
      </c>
      <c r="L101" s="254">
        <v>-341730.74</v>
      </c>
      <c r="N101" s="338">
        <v>26705.57</v>
      </c>
      <c r="P101" s="254">
        <v>-202310.68</v>
      </c>
      <c r="R101" s="169">
        <f>SUM(L101:P101)</f>
        <v>-517335.85</v>
      </c>
    </row>
    <row r="102" spans="6:25" ht="15.75" thickBot="1">
      <c r="J102" s="151"/>
      <c r="L102" s="309">
        <f t="shared" ref="L102:S102" si="8">SUM(L98:L101)</f>
        <v>-605806.61</v>
      </c>
      <c r="M102" s="309">
        <f t="shared" si="8"/>
        <v>0</v>
      </c>
      <c r="N102" s="420">
        <f t="shared" si="8"/>
        <v>-239537.70999999996</v>
      </c>
      <c r="O102" s="309">
        <f t="shared" si="8"/>
        <v>0</v>
      </c>
      <c r="P102" s="309">
        <f t="shared" si="8"/>
        <v>-362109.42</v>
      </c>
      <c r="Q102" s="309">
        <f t="shared" si="8"/>
        <v>0</v>
      </c>
      <c r="R102" s="309">
        <f t="shared" si="8"/>
        <v>-1207453.74</v>
      </c>
      <c r="S102" s="309">
        <f t="shared" si="8"/>
        <v>0</v>
      </c>
    </row>
    <row r="103" spans="6:25" ht="15.75" thickTop="1">
      <c r="J103" s="151"/>
      <c r="L103" s="254">
        <v>-605806.61</v>
      </c>
      <c r="M103" s="254"/>
      <c r="N103" s="338">
        <v>-239537.71</v>
      </c>
      <c r="O103" s="254"/>
      <c r="P103" s="254">
        <v>-362109.42</v>
      </c>
      <c r="X103" s="169"/>
      <c r="Y103" s="169"/>
    </row>
    <row r="105" spans="6:25">
      <c r="J105" s="308" t="s">
        <v>280</v>
      </c>
      <c r="L105" s="310">
        <f>-226111.88</f>
        <v>-226111.88</v>
      </c>
      <c r="N105" s="421">
        <v>-71875.960000000006</v>
      </c>
      <c r="P105" s="310">
        <v>58889.54</v>
      </c>
      <c r="R105" s="311">
        <f>SUM(L105:P105)</f>
        <v>-239098.30000000002</v>
      </c>
    </row>
    <row r="106" spans="6:25">
      <c r="F106" s="158">
        <f>V60</f>
        <v>0</v>
      </c>
      <c r="J106" s="266" t="s">
        <v>281</v>
      </c>
    </row>
    <row r="107" spans="6:25">
      <c r="F107" s="158">
        <f>V61</f>
        <v>0</v>
      </c>
      <c r="R107" s="310"/>
      <c r="X107" s="169"/>
      <c r="Y107" s="254"/>
    </row>
    <row r="108" spans="6:25">
      <c r="J108" t="s">
        <v>282</v>
      </c>
      <c r="R108" s="310">
        <v>-3065310</v>
      </c>
    </row>
    <row r="109" spans="6:25">
      <c r="R109" s="310">
        <v>1399304</v>
      </c>
      <c r="T109" s="310"/>
      <c r="Y109" s="169"/>
    </row>
    <row r="110" spans="6:25" ht="15.75" thickBot="1">
      <c r="J110" s="308" t="s">
        <v>283</v>
      </c>
      <c r="L110" t="s">
        <v>284</v>
      </c>
      <c r="R110" s="309">
        <f>R108+R109</f>
        <v>-1666006</v>
      </c>
      <c r="T110" s="169"/>
    </row>
    <row r="111" spans="6:25" ht="15.75" thickTop="1">
      <c r="Y111" s="169">
        <f>Y109-X103</f>
        <v>0</v>
      </c>
    </row>
    <row r="112" spans="6:25" ht="15.75" thickBot="1">
      <c r="J112" s="312" t="s">
        <v>285</v>
      </c>
      <c r="K112" s="312"/>
      <c r="L112" s="312"/>
      <c r="M112" s="312"/>
      <c r="N112" s="422"/>
      <c r="O112" s="312"/>
      <c r="P112" s="312"/>
      <c r="Q112" s="312"/>
      <c r="R112" s="309">
        <f>R105+R110</f>
        <v>-1905104.3</v>
      </c>
    </row>
    <row r="113" spans="18:18" ht="15.75" thickTop="1"/>
    <row r="115" spans="18:18">
      <c r="R115" s="169">
        <f>R112+103000</f>
        <v>-1802104.3</v>
      </c>
    </row>
  </sheetData>
  <mergeCells count="4">
    <mergeCell ref="H5:Q5"/>
    <mergeCell ref="T6:V7"/>
    <mergeCell ref="H77:Q77"/>
    <mergeCell ref="T78:V79"/>
  </mergeCells>
  <phoneticPr fontId="25" type="noConversion"/>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IS</vt:lpstr>
      <vt:lpstr>FP</vt:lpstr>
      <vt:lpstr>Equity</vt:lpstr>
      <vt:lpstr>CF</vt:lpstr>
      <vt:lpstr>Part A</vt:lpstr>
      <vt:lpstr>Part B</vt:lpstr>
      <vt:lpstr>Detailed PL</vt:lpstr>
      <vt:lpstr>WBS</vt:lpstr>
      <vt:lpstr>CF!Print_Area</vt:lpstr>
      <vt:lpstr>'Detailed PL'!Print_Area</vt:lpstr>
      <vt:lpstr>Equity!Print_Area</vt:lpstr>
      <vt:lpstr>FP!Print_Area</vt:lpstr>
      <vt:lpstr>IS!Print_Area</vt:lpstr>
      <vt:lpstr>'Part A'!Print_Area</vt:lpstr>
      <vt:lpstr>'Part B'!Print_Area</vt:lpstr>
      <vt:lpstr>WBS!Print_Area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azhar</dc:creator>
  <cp:lastModifiedBy>Ms Wong</cp:lastModifiedBy>
  <cp:lastPrinted>2010-08-26T04:54:01Z</cp:lastPrinted>
  <dcterms:created xsi:type="dcterms:W3CDTF">2008-05-07T11:27:40Z</dcterms:created>
  <dcterms:modified xsi:type="dcterms:W3CDTF">2010-08-26T04:54:32Z</dcterms:modified>
</cp:coreProperties>
</file>